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C:\Users\User\OneDrive\Desktop\Equity Research\Models\Health Care\MedTech\"/>
    </mc:Choice>
  </mc:AlternateContent>
  <xr:revisionPtr revIDLastSave="0" documentId="13_ncr:1_{7A7A0407-1A07-4040-865F-9E22F95EB142}" xr6:coauthVersionLast="47" xr6:coauthVersionMax="47" xr10:uidLastSave="{00000000-0000-0000-0000-000000000000}"/>
  <bookViews>
    <workbookView xWindow="-120" yWindow="-120" windowWidth="29040" windowHeight="15720" activeTab="1" xr2:uid="{00000000-000D-0000-FFFF-FFFF00000000}"/>
  </bookViews>
  <sheets>
    <sheet name="Main" sheetId="1" r:id="rId1"/>
    <sheet name="Model" sheetId="2" r:id="rId2"/>
    <sheet name="Notes | Quant Analysis" sheetId="3" r:id="rId3"/>
    <sheet name="Product Lines" sheetId="5" r:id="rId4"/>
    <sheet name="Management" sheetId="6" r:id="rId5"/>
    <sheet name="Table Formatting" sheetId="4"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U70" i="2" l="1"/>
  <c r="BU69" i="2"/>
  <c r="BU48" i="2"/>
  <c r="DA46" i="2"/>
  <c r="DA45" i="2"/>
  <c r="BU72" i="2"/>
  <c r="BU64" i="2"/>
  <c r="BU62" i="2"/>
  <c r="BU61" i="2"/>
  <c r="BU60" i="2"/>
  <c r="BU56" i="2"/>
  <c r="BU58" i="2" s="1"/>
  <c r="BU49" i="2"/>
  <c r="BU11" i="2"/>
  <c r="BU10" i="2"/>
  <c r="BU9" i="2"/>
  <c r="BU7" i="2"/>
  <c r="BT48" i="2"/>
  <c r="BT72" i="2"/>
  <c r="BT71" i="2"/>
  <c r="BT64" i="2"/>
  <c r="BT62" i="2"/>
  <c r="BT61" i="2"/>
  <c r="BT60" i="2"/>
  <c r="BT56" i="2"/>
  <c r="BT58" i="2" s="1"/>
  <c r="BT49" i="2"/>
  <c r="BT11" i="2"/>
  <c r="BT10" i="2"/>
  <c r="BT9" i="2"/>
  <c r="BT7" i="2"/>
  <c r="BT14" i="2" s="1"/>
  <c r="CR24" i="2"/>
  <c r="CR6" i="2"/>
  <c r="CR5" i="2"/>
  <c r="CR4" i="2"/>
  <c r="BU71" i="2" l="1"/>
  <c r="BU73" i="2" s="1"/>
  <c r="BU18" i="2"/>
  <c r="BU15" i="2"/>
  <c r="BU16" i="2"/>
  <c r="BU14" i="2"/>
  <c r="BU12" i="2"/>
  <c r="CR7" i="2"/>
  <c r="CR18" i="2" s="1"/>
  <c r="BT73" i="2"/>
  <c r="BT15" i="2"/>
  <c r="BT16" i="2"/>
  <c r="BT18" i="2"/>
  <c r="BT12" i="2"/>
  <c r="BS48" i="2"/>
  <c r="BS11" i="2"/>
  <c r="BS10" i="2"/>
  <c r="BS9" i="2"/>
  <c r="BS72" i="2"/>
  <c r="BS71" i="2"/>
  <c r="BS73" i="2" s="1"/>
  <c r="BS64" i="2"/>
  <c r="BS62" i="2"/>
  <c r="BS61" i="2"/>
  <c r="BS60" i="2"/>
  <c r="BS56" i="2"/>
  <c r="BS58" i="2" s="1"/>
  <c r="BS49" i="2"/>
  <c r="BS7" i="2"/>
  <c r="BS12" i="2" s="1"/>
  <c r="CS45" i="2"/>
  <c r="CK72" i="2"/>
  <c r="CJ72" i="2"/>
  <c r="CI72" i="2"/>
  <c r="CH72" i="2"/>
  <c r="CG72" i="2"/>
  <c r="CF72" i="2"/>
  <c r="CE72" i="2"/>
  <c r="CD72" i="2"/>
  <c r="CC72" i="2"/>
  <c r="CB72" i="2"/>
  <c r="CA72" i="2"/>
  <c r="CL72" i="2"/>
  <c r="AO31" i="2"/>
  <c r="AG31" i="2"/>
  <c r="CF30" i="2"/>
  <c r="Q31" i="2"/>
  <c r="I31" i="2"/>
  <c r="CL71" i="2"/>
  <c r="CK71" i="2"/>
  <c r="CJ71" i="2"/>
  <c r="CI71" i="2"/>
  <c r="CH71" i="2"/>
  <c r="CG71" i="2"/>
  <c r="CF71" i="2"/>
  <c r="CE71" i="2"/>
  <c r="CD71" i="2"/>
  <c r="CC71" i="2"/>
  <c r="CB71" i="2"/>
  <c r="CA71" i="2"/>
  <c r="CL70" i="2"/>
  <c r="CK70" i="2"/>
  <c r="CJ70" i="2"/>
  <c r="CI70" i="2"/>
  <c r="CH70" i="2"/>
  <c r="CG70" i="2"/>
  <c r="CF70" i="2"/>
  <c r="CE70" i="2"/>
  <c r="CD70" i="2"/>
  <c r="CC70" i="2"/>
  <c r="CB70" i="2"/>
  <c r="CA70" i="2"/>
  <c r="CL69" i="2"/>
  <c r="CK69" i="2"/>
  <c r="CJ69" i="2"/>
  <c r="CI69" i="2"/>
  <c r="CH69" i="2"/>
  <c r="CG69" i="2"/>
  <c r="CF69" i="2"/>
  <c r="CE69" i="2"/>
  <c r="CD69" i="2"/>
  <c r="CC69" i="2"/>
  <c r="CB69" i="2"/>
  <c r="CA69" i="2"/>
  <c r="CL68" i="2"/>
  <c r="CK68" i="2"/>
  <c r="CJ68" i="2"/>
  <c r="CI68" i="2"/>
  <c r="CH68" i="2"/>
  <c r="CG68" i="2"/>
  <c r="CF68" i="2"/>
  <c r="CE68" i="2"/>
  <c r="CD68" i="2"/>
  <c r="CC68" i="2"/>
  <c r="CB68" i="2"/>
  <c r="CA68" i="2"/>
  <c r="AT31" i="2"/>
  <c r="AS31" i="2"/>
  <c r="AR31" i="2"/>
  <c r="AQ31" i="2"/>
  <c r="AP31" i="2"/>
  <c r="AN31" i="2"/>
  <c r="CJ31" i="2" s="1"/>
  <c r="AM31" i="2"/>
  <c r="AL31" i="2"/>
  <c r="AK31" i="2"/>
  <c r="AJ31" i="2"/>
  <c r="AI31" i="2"/>
  <c r="AH31" i="2"/>
  <c r="AF31" i="2"/>
  <c r="AE31" i="2"/>
  <c r="AD31" i="2"/>
  <c r="AC31" i="2"/>
  <c r="AB31" i="2"/>
  <c r="AA31" i="2"/>
  <c r="Z31" i="2"/>
  <c r="X31" i="2"/>
  <c r="W31" i="2"/>
  <c r="V31" i="2"/>
  <c r="U31" i="2"/>
  <c r="T31" i="2"/>
  <c r="S31" i="2"/>
  <c r="R31" i="2"/>
  <c r="P31" i="2"/>
  <c r="O31" i="2"/>
  <c r="N31" i="2"/>
  <c r="M31" i="2"/>
  <c r="L31" i="2"/>
  <c r="K31" i="2"/>
  <c r="CC31" i="2" s="1"/>
  <c r="J31" i="2"/>
  <c r="CB31" i="2" s="1"/>
  <c r="H31" i="2"/>
  <c r="G31" i="2"/>
  <c r="F31" i="2"/>
  <c r="E31" i="2"/>
  <c r="D31" i="2"/>
  <c r="CA31" i="2" s="1"/>
  <c r="C31" i="2"/>
  <c r="AS29" i="2"/>
  <c r="CK29" i="2" s="1"/>
  <c r="AR29" i="2"/>
  <c r="AQ29" i="2"/>
  <c r="AP29" i="2"/>
  <c r="AO29" i="2"/>
  <c r="AN29" i="2"/>
  <c r="CJ29" i="2" s="1"/>
  <c r="AM29" i="2"/>
  <c r="AL29" i="2"/>
  <c r="AK29" i="2"/>
  <c r="AJ29" i="2"/>
  <c r="AI29" i="2"/>
  <c r="AH29" i="2"/>
  <c r="AG29" i="2"/>
  <c r="AF29" i="2"/>
  <c r="CH29" i="2" s="1"/>
  <c r="AE29" i="2"/>
  <c r="AD29" i="2"/>
  <c r="AC29" i="2"/>
  <c r="AB29" i="2"/>
  <c r="AA29" i="2"/>
  <c r="Z29" i="2"/>
  <c r="Y29" i="2"/>
  <c r="X29" i="2"/>
  <c r="CF29" i="2" s="1"/>
  <c r="W29" i="2"/>
  <c r="V29" i="2"/>
  <c r="U29" i="2"/>
  <c r="CE29" i="2" s="1"/>
  <c r="T29" i="2"/>
  <c r="S29" i="2"/>
  <c r="R29" i="2"/>
  <c r="Q29" i="2"/>
  <c r="P29" i="2"/>
  <c r="CD29" i="2" s="1"/>
  <c r="O29" i="2"/>
  <c r="N29" i="2"/>
  <c r="M29" i="2"/>
  <c r="CC29" i="2" s="1"/>
  <c r="L29" i="2"/>
  <c r="K29" i="2"/>
  <c r="J29" i="2"/>
  <c r="I29" i="2"/>
  <c r="H29" i="2"/>
  <c r="CB29" i="2" s="1"/>
  <c r="G29" i="2"/>
  <c r="F29" i="2"/>
  <c r="E29" i="2"/>
  <c r="D29" i="2"/>
  <c r="C29" i="2"/>
  <c r="AT29" i="2"/>
  <c r="CI30" i="2"/>
  <c r="CG30" i="2"/>
  <c r="CE30" i="2"/>
  <c r="CC30" i="2"/>
  <c r="CA30" i="2"/>
  <c r="CK30" i="2"/>
  <c r="CL30" i="2"/>
  <c r="CI29" i="2"/>
  <c r="CG29" i="2"/>
  <c r="CA29" i="2"/>
  <c r="CK28" i="2"/>
  <c r="CJ28" i="2"/>
  <c r="CI28" i="2"/>
  <c r="CH28" i="2"/>
  <c r="CG28" i="2"/>
  <c r="CF28" i="2"/>
  <c r="CE28" i="2"/>
  <c r="CD28" i="2"/>
  <c r="CC28" i="2"/>
  <c r="CB28" i="2"/>
  <c r="CA28" i="2"/>
  <c r="CK27" i="2"/>
  <c r="CJ27" i="2"/>
  <c r="CI27" i="2"/>
  <c r="CH27" i="2"/>
  <c r="CG27" i="2"/>
  <c r="CF27" i="2"/>
  <c r="CE27" i="2"/>
  <c r="CD27" i="2"/>
  <c r="CC27" i="2"/>
  <c r="CB27" i="2"/>
  <c r="CA27" i="2"/>
  <c r="CK26" i="2"/>
  <c r="CJ26" i="2"/>
  <c r="CI26" i="2"/>
  <c r="CH26" i="2"/>
  <c r="CG26" i="2"/>
  <c r="CF26" i="2"/>
  <c r="CE26" i="2"/>
  <c r="CD26" i="2"/>
  <c r="CC26" i="2"/>
  <c r="CB26" i="2"/>
  <c r="CA26" i="2"/>
  <c r="CK25" i="2"/>
  <c r="CJ25" i="2"/>
  <c r="CI25" i="2"/>
  <c r="CH25" i="2"/>
  <c r="CG25" i="2"/>
  <c r="CF25" i="2"/>
  <c r="CE25" i="2"/>
  <c r="CD25" i="2"/>
  <c r="CC25" i="2"/>
  <c r="CB25" i="2"/>
  <c r="CA25" i="2"/>
  <c r="CK24" i="2"/>
  <c r="CJ24" i="2"/>
  <c r="CI24" i="2"/>
  <c r="CH24" i="2"/>
  <c r="CG24" i="2"/>
  <c r="CF24" i="2"/>
  <c r="CE24" i="2"/>
  <c r="CD24" i="2"/>
  <c r="CC24" i="2"/>
  <c r="CB24" i="2"/>
  <c r="CA24" i="2"/>
  <c r="CK23" i="2"/>
  <c r="CJ23" i="2"/>
  <c r="CI23" i="2"/>
  <c r="CH23" i="2"/>
  <c r="CG23" i="2"/>
  <c r="CF23" i="2"/>
  <c r="CE23" i="2"/>
  <c r="CD23" i="2"/>
  <c r="CC23" i="2"/>
  <c r="CB23" i="2"/>
  <c r="CA23" i="2"/>
  <c r="CK22" i="2"/>
  <c r="CJ22" i="2"/>
  <c r="CI22" i="2"/>
  <c r="CH22" i="2"/>
  <c r="CG22" i="2"/>
  <c r="CF22" i="2"/>
  <c r="CE22" i="2"/>
  <c r="CD22" i="2"/>
  <c r="CC22" i="2"/>
  <c r="CB22" i="2"/>
  <c r="CA22" i="2"/>
  <c r="CK21" i="2"/>
  <c r="CJ21" i="2"/>
  <c r="CI21" i="2"/>
  <c r="CH21" i="2"/>
  <c r="CG21" i="2"/>
  <c r="CF21" i="2"/>
  <c r="CE21" i="2"/>
  <c r="CD21" i="2"/>
  <c r="CC21" i="2"/>
  <c r="CB21" i="2"/>
  <c r="CA21" i="2"/>
  <c r="CK20" i="2"/>
  <c r="CJ20" i="2"/>
  <c r="CI20" i="2"/>
  <c r="CH20" i="2"/>
  <c r="CG20" i="2"/>
  <c r="CF20" i="2"/>
  <c r="CE20" i="2"/>
  <c r="CD20" i="2"/>
  <c r="CC20" i="2"/>
  <c r="CB20" i="2"/>
  <c r="CA20" i="2"/>
  <c r="CK19" i="2"/>
  <c r="CJ19" i="2"/>
  <c r="CI19" i="2"/>
  <c r="CH19" i="2"/>
  <c r="CG19" i="2"/>
  <c r="CF19" i="2"/>
  <c r="CE19" i="2"/>
  <c r="CD19" i="2"/>
  <c r="CC19" i="2"/>
  <c r="CB19" i="2"/>
  <c r="CA19" i="2"/>
  <c r="CA18" i="2"/>
  <c r="CB18" i="2"/>
  <c r="CC18" i="2"/>
  <c r="CD18" i="2"/>
  <c r="CE18" i="2"/>
  <c r="CF18" i="2"/>
  <c r="CG18" i="2"/>
  <c r="CH18" i="2"/>
  <c r="CI18" i="2"/>
  <c r="CJ18" i="2"/>
  <c r="CK18" i="2"/>
  <c r="AT68" i="2"/>
  <c r="AS68" i="2"/>
  <c r="AR68" i="2"/>
  <c r="AQ68" i="2"/>
  <c r="AP68" i="2"/>
  <c r="AO68" i="2"/>
  <c r="AN68" i="2"/>
  <c r="AM68" i="2"/>
  <c r="AL68" i="2"/>
  <c r="AK68" i="2"/>
  <c r="AJ68" i="2"/>
  <c r="AI68" i="2"/>
  <c r="AH68" i="2"/>
  <c r="AG68" i="2"/>
  <c r="AF68" i="2"/>
  <c r="AE68" i="2"/>
  <c r="AD68" i="2"/>
  <c r="AC68" i="2"/>
  <c r="AB68" i="2"/>
  <c r="AA68" i="2"/>
  <c r="Z68" i="2"/>
  <c r="Y68" i="2"/>
  <c r="X68" i="2"/>
  <c r="W68" i="2"/>
  <c r="V68" i="2"/>
  <c r="U68" i="2"/>
  <c r="T68" i="2"/>
  <c r="S68" i="2"/>
  <c r="R68" i="2"/>
  <c r="Q68" i="2"/>
  <c r="P68" i="2"/>
  <c r="O68" i="2"/>
  <c r="N68" i="2"/>
  <c r="M68" i="2"/>
  <c r="L68" i="2"/>
  <c r="K68" i="2"/>
  <c r="J68" i="2"/>
  <c r="I68" i="2"/>
  <c r="H68" i="2"/>
  <c r="G68" i="2"/>
  <c r="F68" i="2"/>
  <c r="E68" i="2"/>
  <c r="D68" i="2"/>
  <c r="C68" i="2"/>
  <c r="AT72" i="2"/>
  <c r="AT73" i="2" s="1"/>
  <c r="AS72" i="2"/>
  <c r="AS73" i="2" s="1"/>
  <c r="AR72" i="2"/>
  <c r="AR73" i="2" s="1"/>
  <c r="AQ72" i="2"/>
  <c r="AQ73" i="2" s="1"/>
  <c r="AP72" i="2"/>
  <c r="AP73" i="2" s="1"/>
  <c r="AO72" i="2"/>
  <c r="AO73" i="2" s="1"/>
  <c r="AN72" i="2"/>
  <c r="AN73" i="2" s="1"/>
  <c r="AM72" i="2"/>
  <c r="AM73" i="2" s="1"/>
  <c r="AL72" i="2"/>
  <c r="AL73" i="2" s="1"/>
  <c r="AK72" i="2"/>
  <c r="AK73" i="2" s="1"/>
  <c r="AJ72" i="2"/>
  <c r="AJ73" i="2" s="1"/>
  <c r="AI72" i="2"/>
  <c r="AI73" i="2" s="1"/>
  <c r="CI73" i="2" s="1"/>
  <c r="AH72" i="2"/>
  <c r="AH73" i="2" s="1"/>
  <c r="AG72" i="2"/>
  <c r="AG73" i="2" s="1"/>
  <c r="AF72" i="2"/>
  <c r="AF73" i="2" s="1"/>
  <c r="AE72" i="2"/>
  <c r="AE73" i="2" s="1"/>
  <c r="AD72" i="2"/>
  <c r="AD73" i="2" s="1"/>
  <c r="AC72" i="2"/>
  <c r="AC73" i="2" s="1"/>
  <c r="AB72" i="2"/>
  <c r="AB73" i="2" s="1"/>
  <c r="AA72" i="2"/>
  <c r="AA73" i="2" s="1"/>
  <c r="Z72" i="2"/>
  <c r="Z73" i="2" s="1"/>
  <c r="Y72" i="2"/>
  <c r="Y73" i="2" s="1"/>
  <c r="X72" i="2"/>
  <c r="X73" i="2" s="1"/>
  <c r="W72" i="2"/>
  <c r="W73" i="2" s="1"/>
  <c r="V72" i="2"/>
  <c r="V73" i="2" s="1"/>
  <c r="U72" i="2"/>
  <c r="U73" i="2" s="1"/>
  <c r="T72" i="2"/>
  <c r="T73" i="2" s="1"/>
  <c r="S72" i="2"/>
  <c r="S73" i="2" s="1"/>
  <c r="R72" i="2"/>
  <c r="R73" i="2" s="1"/>
  <c r="Q72" i="2"/>
  <c r="Q73" i="2" s="1"/>
  <c r="P72" i="2"/>
  <c r="P73" i="2" s="1"/>
  <c r="O72" i="2"/>
  <c r="O73" i="2" s="1"/>
  <c r="N72" i="2"/>
  <c r="N73" i="2" s="1"/>
  <c r="M72" i="2"/>
  <c r="M73" i="2" s="1"/>
  <c r="L72" i="2"/>
  <c r="L73" i="2" s="1"/>
  <c r="K72" i="2"/>
  <c r="K73" i="2" s="1"/>
  <c r="J72" i="2"/>
  <c r="J73" i="2" s="1"/>
  <c r="I72" i="2"/>
  <c r="I73" i="2" s="1"/>
  <c r="H72" i="2"/>
  <c r="H73" i="2" s="1"/>
  <c r="G72" i="2"/>
  <c r="G73" i="2" s="1"/>
  <c r="F72" i="2"/>
  <c r="F73" i="2" s="1"/>
  <c r="E72" i="2"/>
  <c r="E73" i="2" s="1"/>
  <c r="D72" i="2"/>
  <c r="D73" i="2" s="1"/>
  <c r="C72" i="2"/>
  <c r="C73" i="2" s="1"/>
  <c r="AT71" i="2"/>
  <c r="AS71" i="2"/>
  <c r="AR71" i="2"/>
  <c r="AQ71" i="2"/>
  <c r="AP71" i="2"/>
  <c r="AO71" i="2"/>
  <c r="AN71" i="2"/>
  <c r="AM71" i="2"/>
  <c r="AL71" i="2"/>
  <c r="AK71" i="2"/>
  <c r="AJ71" i="2"/>
  <c r="AI71" i="2"/>
  <c r="AH71" i="2"/>
  <c r="AG71" i="2"/>
  <c r="AF71" i="2"/>
  <c r="AE71" i="2"/>
  <c r="AD71" i="2"/>
  <c r="AC71" i="2"/>
  <c r="AB71" i="2"/>
  <c r="AA71" i="2"/>
  <c r="Z71" i="2"/>
  <c r="Y71" i="2"/>
  <c r="X71" i="2"/>
  <c r="W71" i="2"/>
  <c r="V71" i="2"/>
  <c r="U71" i="2"/>
  <c r="T71" i="2"/>
  <c r="S71" i="2"/>
  <c r="R71" i="2"/>
  <c r="Q71" i="2"/>
  <c r="P71" i="2"/>
  <c r="O71" i="2"/>
  <c r="N71" i="2"/>
  <c r="M71" i="2"/>
  <c r="L71" i="2"/>
  <c r="K71" i="2"/>
  <c r="J71" i="2"/>
  <c r="I71" i="2"/>
  <c r="H71" i="2"/>
  <c r="G71" i="2"/>
  <c r="F71" i="2"/>
  <c r="E71" i="2"/>
  <c r="D71" i="2"/>
  <c r="C71" i="2"/>
  <c r="AO38" i="2"/>
  <c r="AM38" i="2"/>
  <c r="AG38" i="2"/>
  <c r="AE38" i="2"/>
  <c r="Y38" i="2"/>
  <c r="W38" i="2"/>
  <c r="Q38" i="2"/>
  <c r="O38" i="2"/>
  <c r="I38" i="2"/>
  <c r="G38" i="2"/>
  <c r="AS37" i="2"/>
  <c r="AQ37" i="2"/>
  <c r="AK37" i="2"/>
  <c r="AI37" i="2"/>
  <c r="AC37" i="2"/>
  <c r="AA37" i="2"/>
  <c r="U37" i="2"/>
  <c r="S37" i="2"/>
  <c r="M37" i="2"/>
  <c r="K37" i="2"/>
  <c r="E37" i="2"/>
  <c r="C37" i="2"/>
  <c r="AO36" i="2"/>
  <c r="AM36" i="2"/>
  <c r="AG36" i="2"/>
  <c r="AE36" i="2"/>
  <c r="Y36" i="2"/>
  <c r="W36" i="2"/>
  <c r="Q36" i="2"/>
  <c r="O36" i="2"/>
  <c r="I36" i="2"/>
  <c r="G36" i="2"/>
  <c r="AT35" i="2"/>
  <c r="AS35" i="2"/>
  <c r="AR35" i="2"/>
  <c r="AQ35" i="2"/>
  <c r="AP35" i="2"/>
  <c r="AO35" i="2"/>
  <c r="AN35" i="2"/>
  <c r="AM35" i="2"/>
  <c r="AL35" i="2"/>
  <c r="AK35" i="2"/>
  <c r="AJ35" i="2"/>
  <c r="AI35" i="2"/>
  <c r="AH35" i="2"/>
  <c r="AG35" i="2"/>
  <c r="AF35" i="2"/>
  <c r="AE35" i="2"/>
  <c r="AD35" i="2"/>
  <c r="AC35" i="2"/>
  <c r="AB35" i="2"/>
  <c r="AA35" i="2"/>
  <c r="Z35" i="2"/>
  <c r="Y35" i="2"/>
  <c r="X35" i="2"/>
  <c r="W35" i="2"/>
  <c r="V35" i="2"/>
  <c r="U35" i="2"/>
  <c r="T35" i="2"/>
  <c r="S35" i="2"/>
  <c r="R35" i="2"/>
  <c r="Q35" i="2"/>
  <c r="P35" i="2"/>
  <c r="O35" i="2"/>
  <c r="N35" i="2"/>
  <c r="M35" i="2"/>
  <c r="L35" i="2"/>
  <c r="K35" i="2"/>
  <c r="J35" i="2"/>
  <c r="I35" i="2"/>
  <c r="H35" i="2"/>
  <c r="G35" i="2"/>
  <c r="F35" i="2"/>
  <c r="E35" i="2"/>
  <c r="D35" i="2"/>
  <c r="C35" i="2"/>
  <c r="AT34" i="2"/>
  <c r="AS34" i="2"/>
  <c r="AR34" i="2"/>
  <c r="AQ34" i="2"/>
  <c r="AP34" i="2"/>
  <c r="AO34" i="2"/>
  <c r="AN34" i="2"/>
  <c r="AM34" i="2"/>
  <c r="AL34" i="2"/>
  <c r="AK34" i="2"/>
  <c r="AJ34" i="2"/>
  <c r="AI34" i="2"/>
  <c r="AH34" i="2"/>
  <c r="AG34" i="2"/>
  <c r="AF34" i="2"/>
  <c r="AE34" i="2"/>
  <c r="AD34" i="2"/>
  <c r="AC34" i="2"/>
  <c r="AB34" i="2"/>
  <c r="AA34" i="2"/>
  <c r="Z34" i="2"/>
  <c r="Y34" i="2"/>
  <c r="X34" i="2"/>
  <c r="W34" i="2"/>
  <c r="V34" i="2"/>
  <c r="U34" i="2"/>
  <c r="T34" i="2"/>
  <c r="S34" i="2"/>
  <c r="R34" i="2"/>
  <c r="Q34" i="2"/>
  <c r="P34" i="2"/>
  <c r="O34" i="2"/>
  <c r="N34" i="2"/>
  <c r="M34" i="2"/>
  <c r="L34" i="2"/>
  <c r="K34" i="2"/>
  <c r="J34" i="2"/>
  <c r="I34" i="2"/>
  <c r="H34" i="2"/>
  <c r="G34" i="2"/>
  <c r="F34" i="2"/>
  <c r="E34" i="2"/>
  <c r="D34" i="2"/>
  <c r="C34" i="2"/>
  <c r="AS33" i="2"/>
  <c r="AQ33" i="2"/>
  <c r="AK33" i="2"/>
  <c r="AI33" i="2"/>
  <c r="AC33" i="2"/>
  <c r="AA33" i="2"/>
  <c r="U33" i="2"/>
  <c r="S33" i="2"/>
  <c r="M33" i="2"/>
  <c r="K33" i="2"/>
  <c r="E33" i="2"/>
  <c r="C33" i="2"/>
  <c r="CK3" i="2"/>
  <c r="CJ3" i="2" s="1"/>
  <c r="CI3" i="2" s="1"/>
  <c r="CH3" i="2" s="1"/>
  <c r="CG3" i="2" s="1"/>
  <c r="CF3" i="2" s="1"/>
  <c r="CE3" i="2" s="1"/>
  <c r="CD3" i="2" s="1"/>
  <c r="CC3" i="2" s="1"/>
  <c r="CB3" i="2" s="1"/>
  <c r="CA3" i="2" s="1"/>
  <c r="AT20" i="2"/>
  <c r="AT23" i="2" s="1"/>
  <c r="AT25" i="2" s="1"/>
  <c r="AT27" i="2" s="1"/>
  <c r="AT38" i="2" s="1"/>
  <c r="AS20" i="2"/>
  <c r="AS23" i="2" s="1"/>
  <c r="AS25" i="2" s="1"/>
  <c r="AS27" i="2" s="1"/>
  <c r="AS38" i="2" s="1"/>
  <c r="AR20" i="2"/>
  <c r="AR23" i="2" s="1"/>
  <c r="AR25" i="2" s="1"/>
  <c r="AR27" i="2" s="1"/>
  <c r="AR38" i="2" s="1"/>
  <c r="AQ20" i="2"/>
  <c r="AQ23" i="2" s="1"/>
  <c r="AQ25" i="2" s="1"/>
  <c r="AQ27" i="2" s="1"/>
  <c r="AQ38" i="2" s="1"/>
  <c r="AP20" i="2"/>
  <c r="AP23" i="2" s="1"/>
  <c r="AP25" i="2" s="1"/>
  <c r="AP27" i="2" s="1"/>
  <c r="AP38" i="2" s="1"/>
  <c r="AO20" i="2"/>
  <c r="AO23" i="2" s="1"/>
  <c r="AO25" i="2" s="1"/>
  <c r="AO27" i="2" s="1"/>
  <c r="AN20" i="2"/>
  <c r="AN23" i="2" s="1"/>
  <c r="AN25" i="2" s="1"/>
  <c r="AN27" i="2" s="1"/>
  <c r="AN38" i="2" s="1"/>
  <c r="AM20" i="2"/>
  <c r="AM23" i="2" s="1"/>
  <c r="AM25" i="2" s="1"/>
  <c r="AM27" i="2" s="1"/>
  <c r="AL20" i="2"/>
  <c r="AL23" i="2" s="1"/>
  <c r="AL25" i="2" s="1"/>
  <c r="AL27" i="2" s="1"/>
  <c r="AL38" i="2" s="1"/>
  <c r="AK20" i="2"/>
  <c r="AK23" i="2" s="1"/>
  <c r="AK25" i="2" s="1"/>
  <c r="AK27" i="2" s="1"/>
  <c r="AK38" i="2" s="1"/>
  <c r="AJ20" i="2"/>
  <c r="AJ23" i="2" s="1"/>
  <c r="AJ25" i="2" s="1"/>
  <c r="AJ27" i="2" s="1"/>
  <c r="AJ38" i="2" s="1"/>
  <c r="AI20" i="2"/>
  <c r="AI23" i="2" s="1"/>
  <c r="AI25" i="2" s="1"/>
  <c r="AI27" i="2" s="1"/>
  <c r="AI38" i="2" s="1"/>
  <c r="AH20" i="2"/>
  <c r="AH23" i="2" s="1"/>
  <c r="AH25" i="2" s="1"/>
  <c r="AH27" i="2" s="1"/>
  <c r="AH38" i="2" s="1"/>
  <c r="AG20" i="2"/>
  <c r="AG23" i="2" s="1"/>
  <c r="AG25" i="2" s="1"/>
  <c r="AG27" i="2" s="1"/>
  <c r="AF20" i="2"/>
  <c r="AF23" i="2" s="1"/>
  <c r="AF25" i="2" s="1"/>
  <c r="AF27" i="2" s="1"/>
  <c r="AF38" i="2" s="1"/>
  <c r="AE20" i="2"/>
  <c r="AE23" i="2" s="1"/>
  <c r="AE25" i="2" s="1"/>
  <c r="AE27" i="2" s="1"/>
  <c r="AD20" i="2"/>
  <c r="AD23" i="2" s="1"/>
  <c r="AD25" i="2" s="1"/>
  <c r="AD27" i="2" s="1"/>
  <c r="AD38" i="2" s="1"/>
  <c r="AC20" i="2"/>
  <c r="AC23" i="2" s="1"/>
  <c r="AC25" i="2" s="1"/>
  <c r="AC27" i="2" s="1"/>
  <c r="AC38" i="2" s="1"/>
  <c r="AB20" i="2"/>
  <c r="AB23" i="2" s="1"/>
  <c r="AB25" i="2" s="1"/>
  <c r="AB27" i="2" s="1"/>
  <c r="AB38" i="2" s="1"/>
  <c r="AA20" i="2"/>
  <c r="AA23" i="2" s="1"/>
  <c r="AA25" i="2" s="1"/>
  <c r="AA27" i="2" s="1"/>
  <c r="AA38" i="2" s="1"/>
  <c r="Z20" i="2"/>
  <c r="Z23" i="2" s="1"/>
  <c r="Z25" i="2" s="1"/>
  <c r="Z27" i="2" s="1"/>
  <c r="Z38" i="2" s="1"/>
  <c r="Y20" i="2"/>
  <c r="Y23" i="2" s="1"/>
  <c r="Y25" i="2" s="1"/>
  <c r="Y27" i="2" s="1"/>
  <c r="X20" i="2"/>
  <c r="X23" i="2" s="1"/>
  <c r="X25" i="2" s="1"/>
  <c r="X27" i="2" s="1"/>
  <c r="X38" i="2" s="1"/>
  <c r="W20" i="2"/>
  <c r="W23" i="2" s="1"/>
  <c r="W25" i="2" s="1"/>
  <c r="W27" i="2" s="1"/>
  <c r="V20" i="2"/>
  <c r="V23" i="2" s="1"/>
  <c r="V25" i="2" s="1"/>
  <c r="V27" i="2" s="1"/>
  <c r="V38" i="2" s="1"/>
  <c r="U20" i="2"/>
  <c r="U23" i="2" s="1"/>
  <c r="U25" i="2" s="1"/>
  <c r="U27" i="2" s="1"/>
  <c r="U38" i="2" s="1"/>
  <c r="T20" i="2"/>
  <c r="T23" i="2" s="1"/>
  <c r="T25" i="2" s="1"/>
  <c r="T27" i="2" s="1"/>
  <c r="T38" i="2" s="1"/>
  <c r="S20" i="2"/>
  <c r="S23" i="2" s="1"/>
  <c r="S25" i="2" s="1"/>
  <c r="S27" i="2" s="1"/>
  <c r="S38" i="2" s="1"/>
  <c r="R20" i="2"/>
  <c r="R23" i="2" s="1"/>
  <c r="R25" i="2" s="1"/>
  <c r="R27" i="2" s="1"/>
  <c r="R38" i="2" s="1"/>
  <c r="Q20" i="2"/>
  <c r="Q23" i="2" s="1"/>
  <c r="Q25" i="2" s="1"/>
  <c r="Q27" i="2" s="1"/>
  <c r="P20" i="2"/>
  <c r="P23" i="2" s="1"/>
  <c r="P25" i="2" s="1"/>
  <c r="P27" i="2" s="1"/>
  <c r="P38" i="2" s="1"/>
  <c r="O20" i="2"/>
  <c r="O23" i="2" s="1"/>
  <c r="O25" i="2" s="1"/>
  <c r="O27" i="2" s="1"/>
  <c r="N20" i="2"/>
  <c r="N23" i="2" s="1"/>
  <c r="N25" i="2" s="1"/>
  <c r="N27" i="2" s="1"/>
  <c r="N38" i="2" s="1"/>
  <c r="M20" i="2"/>
  <c r="M23" i="2" s="1"/>
  <c r="M25" i="2" s="1"/>
  <c r="M27" i="2" s="1"/>
  <c r="M38" i="2" s="1"/>
  <c r="L20" i="2"/>
  <c r="L23" i="2" s="1"/>
  <c r="L25" i="2" s="1"/>
  <c r="L27" i="2" s="1"/>
  <c r="L38" i="2" s="1"/>
  <c r="K20" i="2"/>
  <c r="K23" i="2" s="1"/>
  <c r="K25" i="2" s="1"/>
  <c r="K27" i="2" s="1"/>
  <c r="K38" i="2" s="1"/>
  <c r="J20" i="2"/>
  <c r="J23" i="2" s="1"/>
  <c r="J25" i="2" s="1"/>
  <c r="J27" i="2" s="1"/>
  <c r="J38" i="2" s="1"/>
  <c r="I20" i="2"/>
  <c r="I23" i="2" s="1"/>
  <c r="I25" i="2" s="1"/>
  <c r="I27" i="2" s="1"/>
  <c r="H20" i="2"/>
  <c r="H23" i="2" s="1"/>
  <c r="H25" i="2" s="1"/>
  <c r="H27" i="2" s="1"/>
  <c r="H38" i="2" s="1"/>
  <c r="G20" i="2"/>
  <c r="G23" i="2" s="1"/>
  <c r="G25" i="2" s="1"/>
  <c r="G27" i="2" s="1"/>
  <c r="F20" i="2"/>
  <c r="F23" i="2" s="1"/>
  <c r="F25" i="2" s="1"/>
  <c r="F27" i="2" s="1"/>
  <c r="F38" i="2" s="1"/>
  <c r="E20" i="2"/>
  <c r="E23" i="2" s="1"/>
  <c r="E25" i="2" s="1"/>
  <c r="E27" i="2" s="1"/>
  <c r="E38" i="2" s="1"/>
  <c r="D20" i="2"/>
  <c r="D23" i="2" s="1"/>
  <c r="D25" i="2" s="1"/>
  <c r="D27" i="2" s="1"/>
  <c r="D38" i="2" s="1"/>
  <c r="C20" i="2"/>
  <c r="C23" i="2" s="1"/>
  <c r="C25" i="2" s="1"/>
  <c r="C27" i="2" s="1"/>
  <c r="C38" i="2" s="1"/>
  <c r="CR20" i="2" l="1"/>
  <c r="CR21" i="2"/>
  <c r="CR19" i="2"/>
  <c r="BU35" i="2"/>
  <c r="BU20" i="2"/>
  <c r="BU34" i="2"/>
  <c r="BU63" i="2"/>
  <c r="CR22" i="2"/>
  <c r="CR12" i="2"/>
  <c r="BT34" i="2"/>
  <c r="BT35" i="2"/>
  <c r="BT20" i="2"/>
  <c r="BT63" i="2"/>
  <c r="CR23" i="2"/>
  <c r="CR25" i="2" s="1"/>
  <c r="BS14" i="2"/>
  <c r="BS15" i="2"/>
  <c r="BS16" i="2"/>
  <c r="BS18" i="2"/>
  <c r="CB73" i="2"/>
  <c r="CD73" i="2"/>
  <c r="CF73" i="2"/>
  <c r="CH73" i="2"/>
  <c r="CJ73" i="2"/>
  <c r="CH31" i="2"/>
  <c r="CK31" i="2"/>
  <c r="CD31" i="2"/>
  <c r="CI31" i="2"/>
  <c r="CG31" i="2"/>
  <c r="CA73" i="2"/>
  <c r="CC73" i="2"/>
  <c r="CE73" i="2"/>
  <c r="CG73" i="2"/>
  <c r="CK73" i="2"/>
  <c r="CE31" i="2"/>
  <c r="CH30" i="2"/>
  <c r="CB30" i="2"/>
  <c r="CJ30" i="2"/>
  <c r="CD30" i="2"/>
  <c r="Y31" i="2"/>
  <c r="CF31" i="2" s="1"/>
  <c r="D33" i="2"/>
  <c r="L33" i="2"/>
  <c r="T33" i="2"/>
  <c r="AB33" i="2"/>
  <c r="AJ33" i="2"/>
  <c r="AR33" i="2"/>
  <c r="H36" i="2"/>
  <c r="P36" i="2"/>
  <c r="X36" i="2"/>
  <c r="AF36" i="2"/>
  <c r="AN36" i="2"/>
  <c r="D37" i="2"/>
  <c r="L37" i="2"/>
  <c r="T37" i="2"/>
  <c r="AB37" i="2"/>
  <c r="AJ37" i="2"/>
  <c r="AR37" i="2"/>
  <c r="F33" i="2"/>
  <c r="N33" i="2"/>
  <c r="V33" i="2"/>
  <c r="AD33" i="2"/>
  <c r="AL33" i="2"/>
  <c r="AT33" i="2"/>
  <c r="J36" i="2"/>
  <c r="R36" i="2"/>
  <c r="Z36" i="2"/>
  <c r="AH36" i="2"/>
  <c r="AP36" i="2"/>
  <c r="F37" i="2"/>
  <c r="N37" i="2"/>
  <c r="V37" i="2"/>
  <c r="AD37" i="2"/>
  <c r="AL37" i="2"/>
  <c r="AT37" i="2"/>
  <c r="G33" i="2"/>
  <c r="O33" i="2"/>
  <c r="W33" i="2"/>
  <c r="AE33" i="2"/>
  <c r="AM33" i="2"/>
  <c r="C36" i="2"/>
  <c r="K36" i="2"/>
  <c r="S36" i="2"/>
  <c r="AA36" i="2"/>
  <c r="AI36" i="2"/>
  <c r="AQ36" i="2"/>
  <c r="G37" i="2"/>
  <c r="O37" i="2"/>
  <c r="W37" i="2"/>
  <c r="AE37" i="2"/>
  <c r="AM37" i="2"/>
  <c r="H33" i="2"/>
  <c r="P33" i="2"/>
  <c r="X33" i="2"/>
  <c r="AF33" i="2"/>
  <c r="AN33" i="2"/>
  <c r="D36" i="2"/>
  <c r="L36" i="2"/>
  <c r="T36" i="2"/>
  <c r="AB36" i="2"/>
  <c r="AJ36" i="2"/>
  <c r="AR36" i="2"/>
  <c r="H37" i="2"/>
  <c r="P37" i="2"/>
  <c r="X37" i="2"/>
  <c r="AF37" i="2"/>
  <c r="AN37" i="2"/>
  <c r="I33" i="2"/>
  <c r="Q33" i="2"/>
  <c r="Y33" i="2"/>
  <c r="AG33" i="2"/>
  <c r="AO33" i="2"/>
  <c r="E36" i="2"/>
  <c r="M36" i="2"/>
  <c r="U36" i="2"/>
  <c r="AC36" i="2"/>
  <c r="AK36" i="2"/>
  <c r="AS36" i="2"/>
  <c r="I37" i="2"/>
  <c r="Q37" i="2"/>
  <c r="Y37" i="2"/>
  <c r="AG37" i="2"/>
  <c r="AO37" i="2"/>
  <c r="J33" i="2"/>
  <c r="R33" i="2"/>
  <c r="Z33" i="2"/>
  <c r="AH33" i="2"/>
  <c r="AP33" i="2"/>
  <c r="F36" i="2"/>
  <c r="N36" i="2"/>
  <c r="V36" i="2"/>
  <c r="AD36" i="2"/>
  <c r="AL36" i="2"/>
  <c r="AT36" i="2"/>
  <c r="J37" i="2"/>
  <c r="R37" i="2"/>
  <c r="Z37" i="2"/>
  <c r="AH37" i="2"/>
  <c r="AP37" i="2"/>
  <c r="BU23" i="2" l="1"/>
  <c r="BU33" i="2"/>
  <c r="BT23" i="2"/>
  <c r="BT33" i="2"/>
  <c r="CR26" i="2"/>
  <c r="CR27" i="2" s="1"/>
  <c r="CR40" i="2" s="1"/>
  <c r="BS63" i="2"/>
  <c r="BS35" i="2"/>
  <c r="BS20" i="2"/>
  <c r="BS34" i="2"/>
  <c r="CQ57" i="2"/>
  <c r="CQ55" i="2"/>
  <c r="CQ54" i="2"/>
  <c r="CQ53" i="2"/>
  <c r="CQ52" i="2"/>
  <c r="CQ51" i="2"/>
  <c r="CQ47" i="2"/>
  <c r="CQ46" i="2"/>
  <c r="CQ45" i="2"/>
  <c r="CQ44" i="2"/>
  <c r="CQ43" i="2"/>
  <c r="CQ42" i="2"/>
  <c r="CQ41" i="2"/>
  <c r="CQ40" i="2"/>
  <c r="CM30" i="2"/>
  <c r="CM72" i="2" s="1"/>
  <c r="CN30" i="2"/>
  <c r="CN72" i="2" s="1"/>
  <c r="CO30" i="2"/>
  <c r="CO72" i="2" s="1"/>
  <c r="CP30" i="2"/>
  <c r="CP72" i="2" s="1"/>
  <c r="CQ30" i="2"/>
  <c r="CQ72" i="2" s="1"/>
  <c r="CQ28" i="2"/>
  <c r="CQ26" i="2"/>
  <c r="CQ24" i="2"/>
  <c r="CQ22" i="2"/>
  <c r="CQ21" i="2"/>
  <c r="CQ19" i="2"/>
  <c r="BU36" i="2" l="1"/>
  <c r="BU25" i="2"/>
  <c r="BT25" i="2"/>
  <c r="BT36" i="2"/>
  <c r="BS23" i="2"/>
  <c r="BS33" i="2"/>
  <c r="CQ60" i="2"/>
  <c r="CQ61" i="2"/>
  <c r="CQ62" i="2"/>
  <c r="BR48" i="2"/>
  <c r="CQ48" i="2" s="1"/>
  <c r="BR72" i="2"/>
  <c r="BR64" i="2"/>
  <c r="BR62" i="2"/>
  <c r="BR61" i="2"/>
  <c r="BR60" i="2"/>
  <c r="BR56" i="2"/>
  <c r="BR7" i="2"/>
  <c r="P363" i="3"/>
  <c r="P362" i="3"/>
  <c r="P361" i="3"/>
  <c r="P360" i="3"/>
  <c r="P359" i="3"/>
  <c r="P358" i="3"/>
  <c r="P357" i="3"/>
  <c r="P356" i="3"/>
  <c r="P355" i="3"/>
  <c r="P354" i="3"/>
  <c r="P353" i="3"/>
  <c r="P352" i="3"/>
  <c r="P351" i="3"/>
  <c r="P350" i="3"/>
  <c r="P349" i="3"/>
  <c r="P348" i="3"/>
  <c r="P347" i="3"/>
  <c r="P346" i="3"/>
  <c r="P345" i="3"/>
  <c r="P344" i="3"/>
  <c r="P343" i="3"/>
  <c r="P342" i="3"/>
  <c r="P341" i="3"/>
  <c r="P340" i="3"/>
  <c r="P339" i="3"/>
  <c r="P338" i="3"/>
  <c r="P337" i="3"/>
  <c r="P336" i="3"/>
  <c r="P335" i="3"/>
  <c r="P334" i="3"/>
  <c r="P333" i="3"/>
  <c r="P332" i="3"/>
  <c r="P331" i="3"/>
  <c r="P330" i="3"/>
  <c r="P329" i="3"/>
  <c r="P328" i="3"/>
  <c r="P327" i="3"/>
  <c r="P326" i="3"/>
  <c r="P325" i="3"/>
  <c r="P324" i="3"/>
  <c r="P323" i="3"/>
  <c r="P322" i="3"/>
  <c r="P321" i="3"/>
  <c r="P320" i="3"/>
  <c r="P319" i="3"/>
  <c r="P318" i="3"/>
  <c r="P317" i="3"/>
  <c r="P316" i="3"/>
  <c r="P315" i="3"/>
  <c r="P314" i="3"/>
  <c r="P313" i="3"/>
  <c r="P312" i="3"/>
  <c r="P311" i="3"/>
  <c r="P310" i="3"/>
  <c r="P309" i="3"/>
  <c r="P308" i="3"/>
  <c r="P307" i="3"/>
  <c r="P306" i="3"/>
  <c r="P305" i="3"/>
  <c r="P304" i="3"/>
  <c r="P303" i="3"/>
  <c r="P302" i="3"/>
  <c r="P301" i="3"/>
  <c r="P300" i="3"/>
  <c r="P299" i="3"/>
  <c r="P298" i="3"/>
  <c r="P297" i="3"/>
  <c r="P296" i="3"/>
  <c r="P295" i="3"/>
  <c r="P294" i="3"/>
  <c r="P293" i="3"/>
  <c r="P292" i="3"/>
  <c r="P291" i="3"/>
  <c r="P290" i="3"/>
  <c r="P289" i="3"/>
  <c r="P288" i="3"/>
  <c r="P287" i="3"/>
  <c r="P286" i="3"/>
  <c r="P285" i="3"/>
  <c r="P284" i="3"/>
  <c r="P283" i="3"/>
  <c r="P282" i="3"/>
  <c r="P281" i="3"/>
  <c r="P280" i="3"/>
  <c r="P279" i="3"/>
  <c r="P278" i="3"/>
  <c r="P277" i="3"/>
  <c r="P276" i="3"/>
  <c r="P275" i="3"/>
  <c r="P274" i="3"/>
  <c r="P273" i="3"/>
  <c r="P272" i="3"/>
  <c r="P271" i="3"/>
  <c r="P270" i="3"/>
  <c r="P269" i="3"/>
  <c r="P268" i="3"/>
  <c r="P267" i="3"/>
  <c r="P266" i="3"/>
  <c r="P265" i="3"/>
  <c r="P264" i="3"/>
  <c r="P263" i="3"/>
  <c r="P262" i="3"/>
  <c r="P261" i="3"/>
  <c r="P260" i="3"/>
  <c r="P259" i="3"/>
  <c r="P258" i="3"/>
  <c r="P257" i="3"/>
  <c r="P256" i="3"/>
  <c r="P255" i="3"/>
  <c r="P254" i="3"/>
  <c r="P253" i="3"/>
  <c r="P252" i="3"/>
  <c r="P251" i="3"/>
  <c r="P250" i="3"/>
  <c r="P249" i="3"/>
  <c r="P248" i="3"/>
  <c r="P247" i="3"/>
  <c r="P246" i="3"/>
  <c r="P245" i="3"/>
  <c r="P244" i="3"/>
  <c r="P243" i="3"/>
  <c r="P242" i="3"/>
  <c r="P241" i="3"/>
  <c r="P240" i="3"/>
  <c r="P239" i="3"/>
  <c r="P238" i="3"/>
  <c r="P237" i="3"/>
  <c r="P236" i="3"/>
  <c r="P235" i="3"/>
  <c r="P234" i="3"/>
  <c r="P233" i="3"/>
  <c r="P232" i="3"/>
  <c r="P231" i="3"/>
  <c r="P230" i="3"/>
  <c r="P229" i="3"/>
  <c r="P228" i="3"/>
  <c r="P227" i="3"/>
  <c r="P226" i="3"/>
  <c r="P225" i="3"/>
  <c r="P224" i="3"/>
  <c r="P223" i="3"/>
  <c r="P222" i="3"/>
  <c r="P221" i="3"/>
  <c r="P220" i="3"/>
  <c r="P219" i="3"/>
  <c r="P218" i="3"/>
  <c r="P217" i="3"/>
  <c r="P216" i="3"/>
  <c r="P215" i="3"/>
  <c r="P214" i="3"/>
  <c r="P213" i="3"/>
  <c r="P212" i="3"/>
  <c r="P211" i="3"/>
  <c r="P210" i="3"/>
  <c r="P209" i="3"/>
  <c r="P208" i="3"/>
  <c r="P207" i="3"/>
  <c r="P206" i="3"/>
  <c r="P205" i="3"/>
  <c r="P204" i="3"/>
  <c r="P203" i="3"/>
  <c r="P202" i="3"/>
  <c r="P201" i="3"/>
  <c r="P200" i="3"/>
  <c r="P199" i="3"/>
  <c r="P198" i="3"/>
  <c r="P197" i="3"/>
  <c r="P196" i="3"/>
  <c r="P195" i="3"/>
  <c r="P194" i="3"/>
  <c r="P193" i="3"/>
  <c r="H1396" i="3"/>
  <c r="H1395" i="3"/>
  <c r="H1394" i="3"/>
  <c r="H1393" i="3"/>
  <c r="H1392" i="3"/>
  <c r="H1391" i="3"/>
  <c r="H1390" i="3"/>
  <c r="H1389" i="3"/>
  <c r="H1388" i="3"/>
  <c r="H1387" i="3"/>
  <c r="H1386" i="3"/>
  <c r="H1385" i="3"/>
  <c r="H1384" i="3"/>
  <c r="H1383" i="3"/>
  <c r="H1382" i="3"/>
  <c r="H1381" i="3"/>
  <c r="H1380" i="3"/>
  <c r="H1379" i="3"/>
  <c r="H1378" i="3"/>
  <c r="H1377" i="3"/>
  <c r="H1376" i="3"/>
  <c r="H1375" i="3"/>
  <c r="H1374" i="3"/>
  <c r="H1373" i="3"/>
  <c r="H1372" i="3"/>
  <c r="H1371" i="3"/>
  <c r="H1370" i="3"/>
  <c r="H1369" i="3"/>
  <c r="H1368" i="3"/>
  <c r="H1367" i="3"/>
  <c r="H1366" i="3"/>
  <c r="H1365" i="3"/>
  <c r="H1364" i="3"/>
  <c r="H1363" i="3"/>
  <c r="H1362" i="3"/>
  <c r="H1361" i="3"/>
  <c r="H1360" i="3"/>
  <c r="H1359" i="3"/>
  <c r="H1358" i="3"/>
  <c r="H1357" i="3"/>
  <c r="H1356" i="3"/>
  <c r="H1355" i="3"/>
  <c r="H1354" i="3"/>
  <c r="H1353" i="3"/>
  <c r="H1352" i="3"/>
  <c r="H1351" i="3"/>
  <c r="H1350" i="3"/>
  <c r="H1349" i="3"/>
  <c r="H1348" i="3"/>
  <c r="H1347" i="3"/>
  <c r="H1346" i="3"/>
  <c r="H1345" i="3"/>
  <c r="H1344" i="3"/>
  <c r="H1343" i="3"/>
  <c r="H1342" i="3"/>
  <c r="H1341" i="3"/>
  <c r="H1340" i="3"/>
  <c r="H1339" i="3"/>
  <c r="H1338" i="3"/>
  <c r="H1337" i="3"/>
  <c r="H1336" i="3"/>
  <c r="H1335" i="3"/>
  <c r="H1334" i="3"/>
  <c r="H1333" i="3"/>
  <c r="H1332" i="3"/>
  <c r="H1331" i="3"/>
  <c r="H1330" i="3"/>
  <c r="H1329" i="3"/>
  <c r="H1328" i="3"/>
  <c r="H1327" i="3"/>
  <c r="H1326" i="3"/>
  <c r="H1325" i="3"/>
  <c r="H1324" i="3"/>
  <c r="H1323" i="3"/>
  <c r="H1322" i="3"/>
  <c r="H1321" i="3"/>
  <c r="H1320" i="3"/>
  <c r="H1319" i="3"/>
  <c r="H1318" i="3"/>
  <c r="H1317" i="3"/>
  <c r="H1316" i="3"/>
  <c r="H1315" i="3"/>
  <c r="H1314" i="3"/>
  <c r="H1313" i="3"/>
  <c r="H1312" i="3"/>
  <c r="H1311" i="3"/>
  <c r="H1310" i="3"/>
  <c r="H1309" i="3"/>
  <c r="H1308" i="3"/>
  <c r="H1307" i="3"/>
  <c r="H1306" i="3"/>
  <c r="H1305" i="3"/>
  <c r="H1304" i="3"/>
  <c r="H1303" i="3"/>
  <c r="H1302" i="3"/>
  <c r="H1301" i="3"/>
  <c r="H1300" i="3"/>
  <c r="H1299" i="3"/>
  <c r="H1298" i="3"/>
  <c r="H1297" i="3"/>
  <c r="H1296" i="3"/>
  <c r="H1295" i="3"/>
  <c r="H1294" i="3"/>
  <c r="H1293" i="3"/>
  <c r="H1292" i="3"/>
  <c r="H1291" i="3"/>
  <c r="H1290" i="3"/>
  <c r="H1289" i="3"/>
  <c r="H1288" i="3"/>
  <c r="H1287" i="3"/>
  <c r="H1286" i="3"/>
  <c r="H1285" i="3"/>
  <c r="H1284" i="3"/>
  <c r="H1283" i="3"/>
  <c r="H1282" i="3"/>
  <c r="H1281" i="3"/>
  <c r="H1280" i="3"/>
  <c r="H1279" i="3"/>
  <c r="H1278" i="3"/>
  <c r="H1277" i="3"/>
  <c r="H1276" i="3"/>
  <c r="H1275" i="3"/>
  <c r="H1274" i="3"/>
  <c r="H1273" i="3"/>
  <c r="H1272" i="3"/>
  <c r="H1271" i="3"/>
  <c r="H1270" i="3"/>
  <c r="H1269" i="3"/>
  <c r="H1268" i="3"/>
  <c r="H1267" i="3"/>
  <c r="H1266" i="3"/>
  <c r="H1265" i="3"/>
  <c r="H1264" i="3"/>
  <c r="H1263" i="3"/>
  <c r="H1262" i="3"/>
  <c r="H1261" i="3"/>
  <c r="H1260" i="3"/>
  <c r="H1259" i="3"/>
  <c r="H1258" i="3"/>
  <c r="H1257" i="3"/>
  <c r="H1256" i="3"/>
  <c r="H1255" i="3"/>
  <c r="H1254" i="3"/>
  <c r="H1253" i="3"/>
  <c r="H1252" i="3"/>
  <c r="H1251" i="3"/>
  <c r="H1250" i="3"/>
  <c r="H1249" i="3"/>
  <c r="H1248" i="3"/>
  <c r="H1247" i="3"/>
  <c r="H1246" i="3"/>
  <c r="H1245" i="3"/>
  <c r="H1244" i="3"/>
  <c r="H1243" i="3"/>
  <c r="H1242" i="3"/>
  <c r="H1241" i="3"/>
  <c r="H1240" i="3"/>
  <c r="H1239" i="3"/>
  <c r="H1238" i="3"/>
  <c r="H1237" i="3"/>
  <c r="H1236" i="3"/>
  <c r="H1235" i="3"/>
  <c r="H1234" i="3"/>
  <c r="H1233" i="3"/>
  <c r="H1232" i="3"/>
  <c r="H1231" i="3"/>
  <c r="H1230" i="3"/>
  <c r="H1229" i="3"/>
  <c r="H1228" i="3"/>
  <c r="H1227" i="3"/>
  <c r="H1226" i="3"/>
  <c r="H1225" i="3"/>
  <c r="H1224" i="3"/>
  <c r="H1223" i="3"/>
  <c r="H1222" i="3"/>
  <c r="H1221" i="3"/>
  <c r="H1220" i="3"/>
  <c r="H1219" i="3"/>
  <c r="H1218" i="3"/>
  <c r="H1217" i="3"/>
  <c r="H1216" i="3"/>
  <c r="H1215" i="3"/>
  <c r="H1214" i="3"/>
  <c r="H1213" i="3"/>
  <c r="H1212" i="3"/>
  <c r="H1211" i="3"/>
  <c r="H1210" i="3"/>
  <c r="H1209" i="3"/>
  <c r="H1208" i="3"/>
  <c r="H1207" i="3"/>
  <c r="H1206" i="3"/>
  <c r="H1205" i="3"/>
  <c r="H1204" i="3"/>
  <c r="H1203" i="3"/>
  <c r="H1202" i="3"/>
  <c r="H1201" i="3"/>
  <c r="H1200" i="3"/>
  <c r="H1199" i="3"/>
  <c r="H1198" i="3"/>
  <c r="H1197" i="3"/>
  <c r="H1196" i="3"/>
  <c r="H1195" i="3"/>
  <c r="H1194" i="3"/>
  <c r="H1193" i="3"/>
  <c r="H1192" i="3"/>
  <c r="H1191" i="3"/>
  <c r="H1190" i="3"/>
  <c r="H1189" i="3"/>
  <c r="H1188" i="3"/>
  <c r="H1187" i="3"/>
  <c r="H1186" i="3"/>
  <c r="H1185" i="3"/>
  <c r="H1184" i="3"/>
  <c r="H1183" i="3"/>
  <c r="H1182" i="3"/>
  <c r="H1181" i="3"/>
  <c r="H1180" i="3"/>
  <c r="H1179" i="3"/>
  <c r="H1178" i="3"/>
  <c r="H1177" i="3"/>
  <c r="H1176" i="3"/>
  <c r="H1175" i="3"/>
  <c r="H1174" i="3"/>
  <c r="H1173" i="3"/>
  <c r="H1172" i="3"/>
  <c r="H1171" i="3"/>
  <c r="H1170" i="3"/>
  <c r="H1169" i="3"/>
  <c r="H1168" i="3"/>
  <c r="H1167" i="3"/>
  <c r="H1166" i="3"/>
  <c r="H1165" i="3"/>
  <c r="H1164" i="3"/>
  <c r="H1163" i="3"/>
  <c r="H1162" i="3"/>
  <c r="H1161" i="3"/>
  <c r="H1160" i="3"/>
  <c r="H1159" i="3"/>
  <c r="H1158" i="3"/>
  <c r="H1157" i="3"/>
  <c r="H1156" i="3"/>
  <c r="H1155" i="3"/>
  <c r="H1154" i="3"/>
  <c r="H1153" i="3"/>
  <c r="H1152" i="3"/>
  <c r="H1151" i="3"/>
  <c r="H1150" i="3"/>
  <c r="H1149" i="3"/>
  <c r="H1148" i="3"/>
  <c r="H1147" i="3"/>
  <c r="H1146" i="3"/>
  <c r="H1145" i="3"/>
  <c r="H1144" i="3"/>
  <c r="H1143" i="3"/>
  <c r="H1142" i="3"/>
  <c r="H1141" i="3"/>
  <c r="H1140" i="3"/>
  <c r="H1139" i="3"/>
  <c r="H1138" i="3"/>
  <c r="H1137" i="3"/>
  <c r="H1136" i="3"/>
  <c r="H1135" i="3"/>
  <c r="H1134" i="3"/>
  <c r="H1133" i="3"/>
  <c r="H1132" i="3"/>
  <c r="H1131" i="3"/>
  <c r="H1130" i="3"/>
  <c r="H1129" i="3"/>
  <c r="H1128" i="3"/>
  <c r="H1127" i="3"/>
  <c r="H1126" i="3"/>
  <c r="H1125" i="3"/>
  <c r="H1124" i="3"/>
  <c r="H1123" i="3"/>
  <c r="H1122" i="3"/>
  <c r="H1121" i="3"/>
  <c r="H1120" i="3"/>
  <c r="H1119" i="3"/>
  <c r="H1118" i="3"/>
  <c r="H1117" i="3"/>
  <c r="H1116" i="3"/>
  <c r="H1115" i="3"/>
  <c r="H1114" i="3"/>
  <c r="H1113" i="3"/>
  <c r="H1112" i="3"/>
  <c r="H1111" i="3"/>
  <c r="H1110" i="3"/>
  <c r="H1109" i="3"/>
  <c r="H1108" i="3"/>
  <c r="H1107" i="3"/>
  <c r="H1106" i="3"/>
  <c r="H1105" i="3"/>
  <c r="H1104" i="3"/>
  <c r="H1103" i="3"/>
  <c r="H1102" i="3"/>
  <c r="H1101" i="3"/>
  <c r="H1100" i="3"/>
  <c r="H1099" i="3"/>
  <c r="H1098" i="3"/>
  <c r="H1097" i="3"/>
  <c r="H1096" i="3"/>
  <c r="H1095" i="3"/>
  <c r="H1094" i="3"/>
  <c r="H1093" i="3"/>
  <c r="H1092" i="3"/>
  <c r="H1091" i="3"/>
  <c r="H1090" i="3"/>
  <c r="H1089" i="3"/>
  <c r="H1088" i="3"/>
  <c r="H1087" i="3"/>
  <c r="H1086" i="3"/>
  <c r="H1085" i="3"/>
  <c r="H1084" i="3"/>
  <c r="H1083" i="3"/>
  <c r="H1082" i="3"/>
  <c r="H1081" i="3"/>
  <c r="H1080" i="3"/>
  <c r="H1079" i="3"/>
  <c r="H1078" i="3"/>
  <c r="H1077" i="3"/>
  <c r="H1076" i="3"/>
  <c r="H1075" i="3"/>
  <c r="H1074" i="3"/>
  <c r="H1073" i="3"/>
  <c r="H1072" i="3"/>
  <c r="H1071" i="3"/>
  <c r="H1070" i="3"/>
  <c r="H1069" i="3"/>
  <c r="H1068" i="3"/>
  <c r="H1067" i="3"/>
  <c r="H1066" i="3"/>
  <c r="H1065" i="3"/>
  <c r="H1064" i="3"/>
  <c r="H1063" i="3"/>
  <c r="H1062" i="3"/>
  <c r="H1061" i="3"/>
  <c r="H1060" i="3"/>
  <c r="H1059" i="3"/>
  <c r="H1058" i="3"/>
  <c r="H1057" i="3"/>
  <c r="H1056" i="3"/>
  <c r="H1055" i="3"/>
  <c r="H1054" i="3"/>
  <c r="H1053" i="3"/>
  <c r="H1052" i="3"/>
  <c r="H1051" i="3"/>
  <c r="H1050" i="3"/>
  <c r="H1049" i="3"/>
  <c r="H1048" i="3"/>
  <c r="H1047" i="3"/>
  <c r="H1046" i="3"/>
  <c r="H1045" i="3"/>
  <c r="H1044" i="3"/>
  <c r="H1043" i="3"/>
  <c r="H1042" i="3"/>
  <c r="H1041" i="3"/>
  <c r="H1040" i="3"/>
  <c r="H1039" i="3"/>
  <c r="H1038" i="3"/>
  <c r="H1037" i="3"/>
  <c r="H1036" i="3"/>
  <c r="H1035" i="3"/>
  <c r="H1034" i="3"/>
  <c r="H1033" i="3"/>
  <c r="H1032" i="3"/>
  <c r="H1031" i="3"/>
  <c r="H1030" i="3"/>
  <c r="H1029" i="3"/>
  <c r="H1028" i="3"/>
  <c r="H1027" i="3"/>
  <c r="H1026" i="3"/>
  <c r="H1025" i="3"/>
  <c r="H1024" i="3"/>
  <c r="H1023" i="3"/>
  <c r="H1022" i="3"/>
  <c r="H1021" i="3"/>
  <c r="H1020" i="3"/>
  <c r="H1019" i="3"/>
  <c r="H1018" i="3"/>
  <c r="H1017" i="3"/>
  <c r="H1016" i="3"/>
  <c r="H1015" i="3"/>
  <c r="H1014" i="3"/>
  <c r="H1013" i="3"/>
  <c r="H1012" i="3"/>
  <c r="H1011" i="3"/>
  <c r="H1010" i="3"/>
  <c r="H1009" i="3"/>
  <c r="H1008" i="3"/>
  <c r="H1007" i="3"/>
  <c r="H1006" i="3"/>
  <c r="H1005" i="3"/>
  <c r="H1004" i="3"/>
  <c r="H1003" i="3"/>
  <c r="H1002" i="3"/>
  <c r="H1001" i="3"/>
  <c r="H1000" i="3"/>
  <c r="H999" i="3"/>
  <c r="H998" i="3"/>
  <c r="H997" i="3"/>
  <c r="H996" i="3"/>
  <c r="H995" i="3"/>
  <c r="H994" i="3"/>
  <c r="H993" i="3"/>
  <c r="H992" i="3"/>
  <c r="H991" i="3"/>
  <c r="H990" i="3"/>
  <c r="H989" i="3"/>
  <c r="H988" i="3"/>
  <c r="H987" i="3"/>
  <c r="H986" i="3"/>
  <c r="H985" i="3"/>
  <c r="H984" i="3"/>
  <c r="H983" i="3"/>
  <c r="H982" i="3"/>
  <c r="H981" i="3"/>
  <c r="H980" i="3"/>
  <c r="H979" i="3"/>
  <c r="H978" i="3"/>
  <c r="H977" i="3"/>
  <c r="H976" i="3"/>
  <c r="H975" i="3"/>
  <c r="H974" i="3"/>
  <c r="H973" i="3"/>
  <c r="H972" i="3"/>
  <c r="H971" i="3"/>
  <c r="H970" i="3"/>
  <c r="H969" i="3"/>
  <c r="H968" i="3"/>
  <c r="H967" i="3"/>
  <c r="H966" i="3"/>
  <c r="H965" i="3"/>
  <c r="H964" i="3"/>
  <c r="H963" i="3"/>
  <c r="H962" i="3"/>
  <c r="H961" i="3"/>
  <c r="H960" i="3"/>
  <c r="H959" i="3"/>
  <c r="H958" i="3"/>
  <c r="H957" i="3"/>
  <c r="H956" i="3"/>
  <c r="H955" i="3"/>
  <c r="H954" i="3"/>
  <c r="H953" i="3"/>
  <c r="H952" i="3"/>
  <c r="H951" i="3"/>
  <c r="H950" i="3"/>
  <c r="H949" i="3"/>
  <c r="H948" i="3"/>
  <c r="H947" i="3"/>
  <c r="H946" i="3"/>
  <c r="H945" i="3"/>
  <c r="H944" i="3"/>
  <c r="H943" i="3"/>
  <c r="H942" i="3"/>
  <c r="H941" i="3"/>
  <c r="H940" i="3"/>
  <c r="H939" i="3"/>
  <c r="H938" i="3"/>
  <c r="H937" i="3"/>
  <c r="H936" i="3"/>
  <c r="H935" i="3"/>
  <c r="H934" i="3"/>
  <c r="H933" i="3"/>
  <c r="H932" i="3"/>
  <c r="H931" i="3"/>
  <c r="H930" i="3"/>
  <c r="H929" i="3"/>
  <c r="H928" i="3"/>
  <c r="H927" i="3"/>
  <c r="H926" i="3"/>
  <c r="H925" i="3"/>
  <c r="H924" i="3"/>
  <c r="H923" i="3"/>
  <c r="H922" i="3"/>
  <c r="H921" i="3"/>
  <c r="H920" i="3"/>
  <c r="H919" i="3"/>
  <c r="H918" i="3"/>
  <c r="H917" i="3"/>
  <c r="H916" i="3"/>
  <c r="H915" i="3"/>
  <c r="H914" i="3"/>
  <c r="H913" i="3"/>
  <c r="H912" i="3"/>
  <c r="H911" i="3"/>
  <c r="H910" i="3"/>
  <c r="H909" i="3"/>
  <c r="H908" i="3"/>
  <c r="H907" i="3"/>
  <c r="H906" i="3"/>
  <c r="H905" i="3"/>
  <c r="H904" i="3"/>
  <c r="H903" i="3"/>
  <c r="H902" i="3"/>
  <c r="H901" i="3"/>
  <c r="H900" i="3"/>
  <c r="H899" i="3"/>
  <c r="H898" i="3"/>
  <c r="H897" i="3"/>
  <c r="H896" i="3"/>
  <c r="H895" i="3"/>
  <c r="H894" i="3"/>
  <c r="H893" i="3"/>
  <c r="H892" i="3"/>
  <c r="H891" i="3"/>
  <c r="H890" i="3"/>
  <c r="H889" i="3"/>
  <c r="H888" i="3"/>
  <c r="H887" i="3"/>
  <c r="H886" i="3"/>
  <c r="H885" i="3"/>
  <c r="H884" i="3"/>
  <c r="H883" i="3"/>
  <c r="H882" i="3"/>
  <c r="H881" i="3"/>
  <c r="H880" i="3"/>
  <c r="H879" i="3"/>
  <c r="H878" i="3"/>
  <c r="H877" i="3"/>
  <c r="H876" i="3"/>
  <c r="H875" i="3"/>
  <c r="H874" i="3"/>
  <c r="H873" i="3"/>
  <c r="H872" i="3"/>
  <c r="H871" i="3"/>
  <c r="H870" i="3"/>
  <c r="H869" i="3"/>
  <c r="H868" i="3"/>
  <c r="H867" i="3"/>
  <c r="H866" i="3"/>
  <c r="H865" i="3"/>
  <c r="H864" i="3"/>
  <c r="H863" i="3"/>
  <c r="H862" i="3"/>
  <c r="H861" i="3"/>
  <c r="H860" i="3"/>
  <c r="H859" i="3"/>
  <c r="H858" i="3"/>
  <c r="H857" i="3"/>
  <c r="H856" i="3"/>
  <c r="H855" i="3"/>
  <c r="H854" i="3"/>
  <c r="H853" i="3"/>
  <c r="H852" i="3"/>
  <c r="H851" i="3"/>
  <c r="H850" i="3"/>
  <c r="H849" i="3"/>
  <c r="H848" i="3"/>
  <c r="H847" i="3"/>
  <c r="H846" i="3"/>
  <c r="H845" i="3"/>
  <c r="H844" i="3"/>
  <c r="H843" i="3"/>
  <c r="H842" i="3"/>
  <c r="H841" i="3"/>
  <c r="H840" i="3"/>
  <c r="H839" i="3"/>
  <c r="H838" i="3"/>
  <c r="H837" i="3"/>
  <c r="H836" i="3"/>
  <c r="H835" i="3"/>
  <c r="H834" i="3"/>
  <c r="H833" i="3"/>
  <c r="H832" i="3"/>
  <c r="H831" i="3"/>
  <c r="H830" i="3"/>
  <c r="H829" i="3"/>
  <c r="H828" i="3"/>
  <c r="H827" i="3"/>
  <c r="H826" i="3"/>
  <c r="H825" i="3"/>
  <c r="H824" i="3"/>
  <c r="H823" i="3"/>
  <c r="H822" i="3"/>
  <c r="H821" i="3"/>
  <c r="H820" i="3"/>
  <c r="H819" i="3"/>
  <c r="H818" i="3"/>
  <c r="H817" i="3"/>
  <c r="H816" i="3"/>
  <c r="H815" i="3"/>
  <c r="H814" i="3"/>
  <c r="H813" i="3"/>
  <c r="H812" i="3"/>
  <c r="H811" i="3"/>
  <c r="H810" i="3"/>
  <c r="H809" i="3"/>
  <c r="H808" i="3"/>
  <c r="H807" i="3"/>
  <c r="H806" i="3"/>
  <c r="H805" i="3"/>
  <c r="H804" i="3"/>
  <c r="H803" i="3"/>
  <c r="H802" i="3"/>
  <c r="H801" i="3"/>
  <c r="H800" i="3"/>
  <c r="H799" i="3"/>
  <c r="H798" i="3"/>
  <c r="H797" i="3"/>
  <c r="H796" i="3"/>
  <c r="H795" i="3"/>
  <c r="H794" i="3"/>
  <c r="H793" i="3"/>
  <c r="H792" i="3"/>
  <c r="H791" i="3"/>
  <c r="H790" i="3"/>
  <c r="H789" i="3"/>
  <c r="H788" i="3"/>
  <c r="H787" i="3"/>
  <c r="H786" i="3"/>
  <c r="H785" i="3"/>
  <c r="H784" i="3"/>
  <c r="H783" i="3"/>
  <c r="H782" i="3"/>
  <c r="H781" i="3"/>
  <c r="H780" i="3"/>
  <c r="H779" i="3"/>
  <c r="H778" i="3"/>
  <c r="H777" i="3"/>
  <c r="H776" i="3"/>
  <c r="H775" i="3"/>
  <c r="H774" i="3"/>
  <c r="H773" i="3"/>
  <c r="H772" i="3"/>
  <c r="H771" i="3"/>
  <c r="H770" i="3"/>
  <c r="H769" i="3"/>
  <c r="H768" i="3"/>
  <c r="H767" i="3"/>
  <c r="H766" i="3"/>
  <c r="H765" i="3"/>
  <c r="H764" i="3"/>
  <c r="H763" i="3"/>
  <c r="H762" i="3"/>
  <c r="H761" i="3"/>
  <c r="H760" i="3"/>
  <c r="H759" i="3"/>
  <c r="H758" i="3"/>
  <c r="H757" i="3"/>
  <c r="H756" i="3"/>
  <c r="H755" i="3"/>
  <c r="H754" i="3"/>
  <c r="H753" i="3"/>
  <c r="H752" i="3"/>
  <c r="H751" i="3"/>
  <c r="H750" i="3"/>
  <c r="H749" i="3"/>
  <c r="H748" i="3"/>
  <c r="H747" i="3"/>
  <c r="H746" i="3"/>
  <c r="H745" i="3"/>
  <c r="H744" i="3"/>
  <c r="H743" i="3"/>
  <c r="H742" i="3"/>
  <c r="H741" i="3"/>
  <c r="H740" i="3"/>
  <c r="H739" i="3"/>
  <c r="H738" i="3"/>
  <c r="H737" i="3"/>
  <c r="H736" i="3"/>
  <c r="H735" i="3"/>
  <c r="H734" i="3"/>
  <c r="H733" i="3"/>
  <c r="H732" i="3"/>
  <c r="H731" i="3"/>
  <c r="H730" i="3"/>
  <c r="H729" i="3"/>
  <c r="H728" i="3"/>
  <c r="H727" i="3"/>
  <c r="H726" i="3"/>
  <c r="H725" i="3"/>
  <c r="H724" i="3"/>
  <c r="H723" i="3"/>
  <c r="H722" i="3"/>
  <c r="H721" i="3"/>
  <c r="H720" i="3"/>
  <c r="H719" i="3"/>
  <c r="H718" i="3"/>
  <c r="H717" i="3"/>
  <c r="H716" i="3"/>
  <c r="H715" i="3"/>
  <c r="H714" i="3"/>
  <c r="H713" i="3"/>
  <c r="H712" i="3"/>
  <c r="H711" i="3"/>
  <c r="H710" i="3"/>
  <c r="H709" i="3"/>
  <c r="H708" i="3"/>
  <c r="H707" i="3"/>
  <c r="H706" i="3"/>
  <c r="H705" i="3"/>
  <c r="H704" i="3"/>
  <c r="H703" i="3"/>
  <c r="H702" i="3"/>
  <c r="H701" i="3"/>
  <c r="H700" i="3"/>
  <c r="H699" i="3"/>
  <c r="H698" i="3"/>
  <c r="H697" i="3"/>
  <c r="H696" i="3"/>
  <c r="H695" i="3"/>
  <c r="H694" i="3"/>
  <c r="H693" i="3"/>
  <c r="H692" i="3"/>
  <c r="H691" i="3"/>
  <c r="H690" i="3"/>
  <c r="H689" i="3"/>
  <c r="H688" i="3"/>
  <c r="H687" i="3"/>
  <c r="H686" i="3"/>
  <c r="H685" i="3"/>
  <c r="H684" i="3"/>
  <c r="H683" i="3"/>
  <c r="H682" i="3"/>
  <c r="H681" i="3"/>
  <c r="H680" i="3"/>
  <c r="H679" i="3"/>
  <c r="H678" i="3"/>
  <c r="H677" i="3"/>
  <c r="H676" i="3"/>
  <c r="H675" i="3"/>
  <c r="H674" i="3"/>
  <c r="H673" i="3"/>
  <c r="H672" i="3"/>
  <c r="H671" i="3"/>
  <c r="H670" i="3"/>
  <c r="H669" i="3"/>
  <c r="H668" i="3"/>
  <c r="H667" i="3"/>
  <c r="H666" i="3"/>
  <c r="H665" i="3"/>
  <c r="H664" i="3"/>
  <c r="H663" i="3"/>
  <c r="H662" i="3"/>
  <c r="H661" i="3"/>
  <c r="H660" i="3"/>
  <c r="H659" i="3"/>
  <c r="H658" i="3"/>
  <c r="H657" i="3"/>
  <c r="H656" i="3"/>
  <c r="H655" i="3"/>
  <c r="H654" i="3"/>
  <c r="H653" i="3"/>
  <c r="H652" i="3"/>
  <c r="H651" i="3"/>
  <c r="H650" i="3"/>
  <c r="H649" i="3"/>
  <c r="H648" i="3"/>
  <c r="H647" i="3"/>
  <c r="H646" i="3"/>
  <c r="H645" i="3"/>
  <c r="H644" i="3"/>
  <c r="H643" i="3"/>
  <c r="H642" i="3"/>
  <c r="H641" i="3"/>
  <c r="H640" i="3"/>
  <c r="H639" i="3"/>
  <c r="H638" i="3"/>
  <c r="H637" i="3"/>
  <c r="H636" i="3"/>
  <c r="H635" i="3"/>
  <c r="H634" i="3"/>
  <c r="H633" i="3"/>
  <c r="H632" i="3"/>
  <c r="H631" i="3"/>
  <c r="H630" i="3"/>
  <c r="H629" i="3"/>
  <c r="H628" i="3"/>
  <c r="H627" i="3"/>
  <c r="H626" i="3"/>
  <c r="H625" i="3"/>
  <c r="H624" i="3"/>
  <c r="H623" i="3"/>
  <c r="H622" i="3"/>
  <c r="H621" i="3"/>
  <c r="H620" i="3"/>
  <c r="H619" i="3"/>
  <c r="H618" i="3"/>
  <c r="H617" i="3"/>
  <c r="H616" i="3"/>
  <c r="H615" i="3"/>
  <c r="H614" i="3"/>
  <c r="H613" i="3"/>
  <c r="H612" i="3"/>
  <c r="H611" i="3"/>
  <c r="H610" i="3"/>
  <c r="H609" i="3"/>
  <c r="H608" i="3"/>
  <c r="H607" i="3"/>
  <c r="H606" i="3"/>
  <c r="H605" i="3"/>
  <c r="H604" i="3"/>
  <c r="H603" i="3"/>
  <c r="H602" i="3"/>
  <c r="H601" i="3"/>
  <c r="H600" i="3"/>
  <c r="H599" i="3"/>
  <c r="H598" i="3"/>
  <c r="H597" i="3"/>
  <c r="H596" i="3"/>
  <c r="H595" i="3"/>
  <c r="H594" i="3"/>
  <c r="H593" i="3"/>
  <c r="H592" i="3"/>
  <c r="H591" i="3"/>
  <c r="H590" i="3"/>
  <c r="H589" i="3"/>
  <c r="H588" i="3"/>
  <c r="H587" i="3"/>
  <c r="H586" i="3"/>
  <c r="H585" i="3"/>
  <c r="H584" i="3"/>
  <c r="H583" i="3"/>
  <c r="H582" i="3"/>
  <c r="H581" i="3"/>
  <c r="H580" i="3"/>
  <c r="H579" i="3"/>
  <c r="H578" i="3"/>
  <c r="H577" i="3"/>
  <c r="H576" i="3"/>
  <c r="H575" i="3"/>
  <c r="H574" i="3"/>
  <c r="H573" i="3"/>
  <c r="H572" i="3"/>
  <c r="H571" i="3"/>
  <c r="H570" i="3"/>
  <c r="H569" i="3"/>
  <c r="H568" i="3"/>
  <c r="H567" i="3"/>
  <c r="H566" i="3"/>
  <c r="H565" i="3"/>
  <c r="H564" i="3"/>
  <c r="H563" i="3"/>
  <c r="H562" i="3"/>
  <c r="H561" i="3"/>
  <c r="H560" i="3"/>
  <c r="H559" i="3"/>
  <c r="H558" i="3"/>
  <c r="H557" i="3"/>
  <c r="H556" i="3"/>
  <c r="H555" i="3"/>
  <c r="H554" i="3"/>
  <c r="H553" i="3"/>
  <c r="H552" i="3"/>
  <c r="H551" i="3"/>
  <c r="H550" i="3"/>
  <c r="H549" i="3"/>
  <c r="H548" i="3"/>
  <c r="H547" i="3"/>
  <c r="H546" i="3"/>
  <c r="H545" i="3"/>
  <c r="H544" i="3"/>
  <c r="H543" i="3"/>
  <c r="H542" i="3"/>
  <c r="H541" i="3"/>
  <c r="H540" i="3"/>
  <c r="H539" i="3"/>
  <c r="H538" i="3"/>
  <c r="H537" i="3"/>
  <c r="H536" i="3"/>
  <c r="H535" i="3"/>
  <c r="H534" i="3"/>
  <c r="H533" i="3"/>
  <c r="H532" i="3"/>
  <c r="H531" i="3"/>
  <c r="H530" i="3"/>
  <c r="H529" i="3"/>
  <c r="H528" i="3"/>
  <c r="H527" i="3"/>
  <c r="H526" i="3"/>
  <c r="H525" i="3"/>
  <c r="H524" i="3"/>
  <c r="H523" i="3"/>
  <c r="H522" i="3"/>
  <c r="H521" i="3"/>
  <c r="H520" i="3"/>
  <c r="H519" i="3"/>
  <c r="H518" i="3"/>
  <c r="H517" i="3"/>
  <c r="H516" i="3"/>
  <c r="H515" i="3"/>
  <c r="H514" i="3"/>
  <c r="H513" i="3"/>
  <c r="H512" i="3"/>
  <c r="H511" i="3"/>
  <c r="H510" i="3"/>
  <c r="H509" i="3"/>
  <c r="H508" i="3"/>
  <c r="H507" i="3"/>
  <c r="H506" i="3"/>
  <c r="H505" i="3"/>
  <c r="H504" i="3"/>
  <c r="H503" i="3"/>
  <c r="H502" i="3"/>
  <c r="H501" i="3"/>
  <c r="H500" i="3"/>
  <c r="H499" i="3"/>
  <c r="H498" i="3"/>
  <c r="H497" i="3"/>
  <c r="H496" i="3"/>
  <c r="H495" i="3"/>
  <c r="H494" i="3"/>
  <c r="H493" i="3"/>
  <c r="H492" i="3"/>
  <c r="H491" i="3"/>
  <c r="H490" i="3"/>
  <c r="H489" i="3"/>
  <c r="H488" i="3"/>
  <c r="H487" i="3"/>
  <c r="H486" i="3"/>
  <c r="H485" i="3"/>
  <c r="H484" i="3"/>
  <c r="H483" i="3"/>
  <c r="H482" i="3"/>
  <c r="H481" i="3"/>
  <c r="H480" i="3"/>
  <c r="H479" i="3"/>
  <c r="H478" i="3"/>
  <c r="H477" i="3"/>
  <c r="H476" i="3"/>
  <c r="H475" i="3"/>
  <c r="H474" i="3"/>
  <c r="H473" i="3"/>
  <c r="H472" i="3"/>
  <c r="H471" i="3"/>
  <c r="H470" i="3"/>
  <c r="H469" i="3"/>
  <c r="H468" i="3"/>
  <c r="H467" i="3"/>
  <c r="H466" i="3"/>
  <c r="H465" i="3"/>
  <c r="H464" i="3"/>
  <c r="H463" i="3"/>
  <c r="H462" i="3"/>
  <c r="H461" i="3"/>
  <c r="H460" i="3"/>
  <c r="H459" i="3"/>
  <c r="H458" i="3"/>
  <c r="H457" i="3"/>
  <c r="H456" i="3"/>
  <c r="H455" i="3"/>
  <c r="H454" i="3"/>
  <c r="H453" i="3"/>
  <c r="H452" i="3"/>
  <c r="H451" i="3"/>
  <c r="H450" i="3"/>
  <c r="H449" i="3"/>
  <c r="H448" i="3"/>
  <c r="H447" i="3"/>
  <c r="H446" i="3"/>
  <c r="H445" i="3"/>
  <c r="H444" i="3"/>
  <c r="H443" i="3"/>
  <c r="H442" i="3"/>
  <c r="H441" i="3"/>
  <c r="H440" i="3"/>
  <c r="H439" i="3"/>
  <c r="H438" i="3"/>
  <c r="H437" i="3"/>
  <c r="H436" i="3"/>
  <c r="H435" i="3"/>
  <c r="H434" i="3"/>
  <c r="H433" i="3"/>
  <c r="H432" i="3"/>
  <c r="H431" i="3"/>
  <c r="H430" i="3"/>
  <c r="H429" i="3"/>
  <c r="H428" i="3"/>
  <c r="H427" i="3"/>
  <c r="H426" i="3"/>
  <c r="H425" i="3"/>
  <c r="H424" i="3"/>
  <c r="H423" i="3"/>
  <c r="H422" i="3"/>
  <c r="H421" i="3"/>
  <c r="H420" i="3"/>
  <c r="H419" i="3"/>
  <c r="H418" i="3"/>
  <c r="H417" i="3"/>
  <c r="H416" i="3"/>
  <c r="H415" i="3"/>
  <c r="H414" i="3"/>
  <c r="H413" i="3"/>
  <c r="H412" i="3"/>
  <c r="H411" i="3"/>
  <c r="H410" i="3"/>
  <c r="H409" i="3"/>
  <c r="H408" i="3"/>
  <c r="H407" i="3"/>
  <c r="H406" i="3"/>
  <c r="H405" i="3"/>
  <c r="H404" i="3"/>
  <c r="H403" i="3"/>
  <c r="H402" i="3"/>
  <c r="H401" i="3"/>
  <c r="H400" i="3"/>
  <c r="H399" i="3"/>
  <c r="H398" i="3"/>
  <c r="H397" i="3"/>
  <c r="H396" i="3"/>
  <c r="H395" i="3"/>
  <c r="H394" i="3"/>
  <c r="H393" i="3"/>
  <c r="H392" i="3"/>
  <c r="H391" i="3"/>
  <c r="H390" i="3"/>
  <c r="H389" i="3"/>
  <c r="H388" i="3"/>
  <c r="H387" i="3"/>
  <c r="H386" i="3"/>
  <c r="H385" i="3"/>
  <c r="H384" i="3"/>
  <c r="H383" i="3"/>
  <c r="H382" i="3"/>
  <c r="H381" i="3"/>
  <c r="H380" i="3"/>
  <c r="H379" i="3"/>
  <c r="H378" i="3"/>
  <c r="H377" i="3"/>
  <c r="H376" i="3"/>
  <c r="H375" i="3"/>
  <c r="H374" i="3"/>
  <c r="H373" i="3"/>
  <c r="H372" i="3"/>
  <c r="H371" i="3"/>
  <c r="H370" i="3"/>
  <c r="H369" i="3"/>
  <c r="H368" i="3"/>
  <c r="H367" i="3"/>
  <c r="H366" i="3"/>
  <c r="H365" i="3"/>
  <c r="H364" i="3"/>
  <c r="H363" i="3"/>
  <c r="H362" i="3"/>
  <c r="H361" i="3"/>
  <c r="H360" i="3"/>
  <c r="H359" i="3"/>
  <c r="H358" i="3"/>
  <c r="H357" i="3"/>
  <c r="H356" i="3"/>
  <c r="H355" i="3"/>
  <c r="H354" i="3"/>
  <c r="H353" i="3"/>
  <c r="H352" i="3"/>
  <c r="H351" i="3"/>
  <c r="H350" i="3"/>
  <c r="H349" i="3"/>
  <c r="H348" i="3"/>
  <c r="H347" i="3"/>
  <c r="H346" i="3"/>
  <c r="H345" i="3"/>
  <c r="H344" i="3"/>
  <c r="H343" i="3"/>
  <c r="H342" i="3"/>
  <c r="H341" i="3"/>
  <c r="H340" i="3"/>
  <c r="H339" i="3"/>
  <c r="H338" i="3"/>
  <c r="H337" i="3"/>
  <c r="H336" i="3"/>
  <c r="H335" i="3"/>
  <c r="H334" i="3"/>
  <c r="H333" i="3"/>
  <c r="H332" i="3"/>
  <c r="H331" i="3"/>
  <c r="H330" i="3"/>
  <c r="H329" i="3"/>
  <c r="H328" i="3"/>
  <c r="H327" i="3"/>
  <c r="H326" i="3"/>
  <c r="H325" i="3"/>
  <c r="H324" i="3"/>
  <c r="H323" i="3"/>
  <c r="H322" i="3"/>
  <c r="H321" i="3"/>
  <c r="H320" i="3"/>
  <c r="H319" i="3"/>
  <c r="H318" i="3"/>
  <c r="H317" i="3"/>
  <c r="H316" i="3"/>
  <c r="H315" i="3"/>
  <c r="H314" i="3"/>
  <c r="H313" i="3"/>
  <c r="H312" i="3"/>
  <c r="H311" i="3"/>
  <c r="H310" i="3"/>
  <c r="H309" i="3"/>
  <c r="H308" i="3"/>
  <c r="H307" i="3"/>
  <c r="H306" i="3"/>
  <c r="H305" i="3"/>
  <c r="H304" i="3"/>
  <c r="H303" i="3"/>
  <c r="H302" i="3"/>
  <c r="H301" i="3"/>
  <c r="H300" i="3"/>
  <c r="H299" i="3"/>
  <c r="H298" i="3"/>
  <c r="H297" i="3"/>
  <c r="H296" i="3"/>
  <c r="H295" i="3"/>
  <c r="H294" i="3"/>
  <c r="H293" i="3"/>
  <c r="H292" i="3"/>
  <c r="H291" i="3"/>
  <c r="H290" i="3"/>
  <c r="H289" i="3"/>
  <c r="H288" i="3"/>
  <c r="H287" i="3"/>
  <c r="H286" i="3"/>
  <c r="H285" i="3"/>
  <c r="H284" i="3"/>
  <c r="H283" i="3"/>
  <c r="H282" i="3"/>
  <c r="H281" i="3"/>
  <c r="H280" i="3"/>
  <c r="H279" i="3"/>
  <c r="H278" i="3"/>
  <c r="H277" i="3"/>
  <c r="H276" i="3"/>
  <c r="H275" i="3"/>
  <c r="H274" i="3"/>
  <c r="H273" i="3"/>
  <c r="H272" i="3"/>
  <c r="H271" i="3"/>
  <c r="H270" i="3"/>
  <c r="H269" i="3"/>
  <c r="H268" i="3"/>
  <c r="H267" i="3"/>
  <c r="H266" i="3"/>
  <c r="H265" i="3"/>
  <c r="H264" i="3"/>
  <c r="H263" i="3"/>
  <c r="H262" i="3"/>
  <c r="H261" i="3"/>
  <c r="H260" i="3"/>
  <c r="H259" i="3"/>
  <c r="H258" i="3"/>
  <c r="H257" i="3"/>
  <c r="H256" i="3"/>
  <c r="H255" i="3"/>
  <c r="H254" i="3"/>
  <c r="H253" i="3"/>
  <c r="H252" i="3"/>
  <c r="H251" i="3"/>
  <c r="H250" i="3"/>
  <c r="H249" i="3"/>
  <c r="H248" i="3"/>
  <c r="H247" i="3"/>
  <c r="H246" i="3"/>
  <c r="H245" i="3"/>
  <c r="H244" i="3"/>
  <c r="H243" i="3"/>
  <c r="H242" i="3"/>
  <c r="H241" i="3"/>
  <c r="H240" i="3"/>
  <c r="H239" i="3"/>
  <c r="H238" i="3"/>
  <c r="H237" i="3"/>
  <c r="H236" i="3"/>
  <c r="H235" i="3"/>
  <c r="H234" i="3"/>
  <c r="H233" i="3"/>
  <c r="H232" i="3"/>
  <c r="H231" i="3"/>
  <c r="H230" i="3"/>
  <c r="H229" i="3"/>
  <c r="H228" i="3"/>
  <c r="H227" i="3"/>
  <c r="H226" i="3"/>
  <c r="H225" i="3"/>
  <c r="H224" i="3"/>
  <c r="H223" i="3"/>
  <c r="H222" i="3"/>
  <c r="H221" i="3"/>
  <c r="H220" i="3"/>
  <c r="H219" i="3"/>
  <c r="H218" i="3"/>
  <c r="H217" i="3"/>
  <c r="H216" i="3"/>
  <c r="H215" i="3"/>
  <c r="H214" i="3"/>
  <c r="H213" i="3"/>
  <c r="H212" i="3"/>
  <c r="H211" i="3"/>
  <c r="H210" i="3"/>
  <c r="H209" i="3"/>
  <c r="H208" i="3"/>
  <c r="H207" i="3"/>
  <c r="H206" i="3"/>
  <c r="H205" i="3"/>
  <c r="H204" i="3"/>
  <c r="H203" i="3"/>
  <c r="H202" i="3"/>
  <c r="H201" i="3"/>
  <c r="H200" i="3"/>
  <c r="H199" i="3"/>
  <c r="H198" i="3"/>
  <c r="H197" i="3"/>
  <c r="H196" i="3"/>
  <c r="H195" i="3"/>
  <c r="H194" i="3"/>
  <c r="H193" i="3"/>
  <c r="CV62" i="2"/>
  <c r="BQ48" i="2"/>
  <c r="BQ49" i="2" s="1"/>
  <c r="BP48" i="2"/>
  <c r="BQ72" i="2"/>
  <c r="BQ64" i="2"/>
  <c r="BQ62" i="2"/>
  <c r="BQ61" i="2"/>
  <c r="BQ60" i="2"/>
  <c r="BQ56" i="2"/>
  <c r="BQ58" i="2" s="1"/>
  <c r="BQ9" i="2"/>
  <c r="BQ11" i="2"/>
  <c r="BQ10" i="2"/>
  <c r="BU27" i="2" l="1"/>
  <c r="BU37" i="2"/>
  <c r="BT27" i="2"/>
  <c r="BT37" i="2"/>
  <c r="BS25" i="2"/>
  <c r="BS36" i="2"/>
  <c r="BR49" i="2"/>
  <c r="CQ49" i="2" s="1"/>
  <c r="BR58" i="2"/>
  <c r="CQ58" i="2" s="1"/>
  <c r="CQ56" i="2"/>
  <c r="BR14" i="2"/>
  <c r="BR16" i="2"/>
  <c r="BR15" i="2"/>
  <c r="BR18" i="2"/>
  <c r="BQ7" i="2"/>
  <c r="BQ16" i="2" s="1"/>
  <c r="BU29" i="2" l="1"/>
  <c r="BU31" i="2"/>
  <c r="BU38" i="2"/>
  <c r="BU65" i="2"/>
  <c r="BU66" i="2"/>
  <c r="BU68" i="2"/>
  <c r="BT68" i="2"/>
  <c r="BT29" i="2"/>
  <c r="BT38" i="2"/>
  <c r="BT66" i="2"/>
  <c r="BT65" i="2"/>
  <c r="BT31" i="2"/>
  <c r="BS27" i="2"/>
  <c r="BS37" i="2"/>
  <c r="BR63" i="2"/>
  <c r="BR35" i="2"/>
  <c r="BR20" i="2"/>
  <c r="BR34" i="2"/>
  <c r="BQ18" i="2"/>
  <c r="BQ15" i="2"/>
  <c r="BQ14" i="2"/>
  <c r="BS29" i="2" l="1"/>
  <c r="BS38" i="2"/>
  <c r="BS66" i="2"/>
  <c r="BS68" i="2"/>
  <c r="BS65" i="2"/>
  <c r="BS31" i="2"/>
  <c r="BR23" i="2"/>
  <c r="BR33" i="2"/>
  <c r="BQ63" i="2"/>
  <c r="BQ35" i="2"/>
  <c r="BQ20" i="2"/>
  <c r="BQ34" i="2"/>
  <c r="BR25" i="2" l="1"/>
  <c r="BR36" i="2"/>
  <c r="BQ23" i="2"/>
  <c r="BQ33" i="2"/>
  <c r="BR27" i="2" l="1"/>
  <c r="BR37" i="2"/>
  <c r="BQ25" i="2"/>
  <c r="BQ36" i="2"/>
  <c r="BR29" i="2" l="1"/>
  <c r="BR38" i="2"/>
  <c r="BR68" i="2"/>
  <c r="BR66" i="2"/>
  <c r="BR65" i="2"/>
  <c r="BR31" i="2"/>
  <c r="BQ37" i="2"/>
  <c r="BQ27" i="2"/>
  <c r="BQ31" i="2" l="1"/>
  <c r="BQ68" i="2"/>
  <c r="BQ66" i="2"/>
  <c r="BQ38" i="2"/>
  <c r="BQ65" i="2"/>
  <c r="BQ29" i="2"/>
  <c r="DA53" i="2" l="1"/>
  <c r="DA51" i="2"/>
  <c r="U236" i="3"/>
  <c r="U237" i="3" s="1"/>
  <c r="U238" i="3" s="1"/>
  <c r="U239" i="3" s="1"/>
  <c r="U240" i="3" s="1"/>
  <c r="U241" i="3" s="1"/>
  <c r="U242" i="3" s="1"/>
  <c r="U243" i="3" s="1"/>
  <c r="U244" i="3" s="1"/>
  <c r="U245" i="3" s="1"/>
  <c r="U246" i="3" s="1"/>
  <c r="U247" i="3" s="1"/>
  <c r="U248" i="3" s="1"/>
  <c r="U249" i="3" s="1"/>
  <c r="U250" i="3" s="1"/>
  <c r="U251" i="3" s="1"/>
  <c r="U252" i="3" s="1"/>
  <c r="U253" i="3" s="1"/>
  <c r="U254" i="3" s="1"/>
  <c r="U255" i="3" s="1"/>
  <c r="U256" i="3" s="1"/>
  <c r="U257" i="3" s="1"/>
  <c r="U258" i="3" s="1"/>
  <c r="U259" i="3" s="1"/>
  <c r="U260" i="3" s="1"/>
  <c r="U261" i="3" s="1"/>
  <c r="U262" i="3" s="1"/>
  <c r="U263" i="3" s="1"/>
  <c r="U264" i="3" s="1"/>
  <c r="U265" i="3" s="1"/>
  <c r="U266" i="3" s="1"/>
  <c r="U267" i="3" s="1"/>
  <c r="U268" i="3" s="1"/>
  <c r="U269" i="3" s="1"/>
  <c r="U270" i="3" s="1"/>
  <c r="U271" i="3" s="1"/>
  <c r="U272" i="3" s="1"/>
  <c r="U273" i="3" s="1"/>
  <c r="U274" i="3" s="1"/>
  <c r="U275" i="3" s="1"/>
  <c r="U276" i="3" s="1"/>
  <c r="U277" i="3" s="1"/>
  <c r="U278" i="3" s="1"/>
  <c r="U279" i="3" s="1"/>
  <c r="U280" i="3" s="1"/>
  <c r="U281" i="3" s="1"/>
  <c r="U282" i="3" s="1"/>
  <c r="U283" i="3" s="1"/>
  <c r="U284" i="3" s="1"/>
  <c r="U285" i="3" s="1"/>
  <c r="U286" i="3" s="1"/>
  <c r="U287" i="3" s="1"/>
  <c r="U288" i="3" s="1"/>
  <c r="U289" i="3" s="1"/>
  <c r="U290" i="3" s="1"/>
  <c r="U291" i="3" s="1"/>
  <c r="U292" i="3" s="1"/>
  <c r="U293" i="3" s="1"/>
  <c r="U294" i="3" s="1"/>
  <c r="U295" i="3" s="1"/>
  <c r="U296" i="3" s="1"/>
  <c r="U297" i="3" s="1"/>
  <c r="U298" i="3" s="1"/>
  <c r="U299" i="3" s="1"/>
  <c r="U300" i="3" s="1"/>
  <c r="U301" i="3" s="1"/>
  <c r="U302" i="3" s="1"/>
  <c r="U303" i="3" s="1"/>
  <c r="U304" i="3" s="1"/>
  <c r="U305" i="3" s="1"/>
  <c r="U306" i="3" s="1"/>
  <c r="U307" i="3" s="1"/>
  <c r="U308" i="3" s="1"/>
  <c r="U309" i="3" s="1"/>
  <c r="U310" i="3" s="1"/>
  <c r="U311" i="3" s="1"/>
  <c r="U312" i="3" s="1"/>
  <c r="U313" i="3" s="1"/>
  <c r="U314" i="3" s="1"/>
  <c r="U315" i="3" s="1"/>
  <c r="U316" i="3" s="1"/>
  <c r="U317" i="3" s="1"/>
  <c r="U318" i="3" s="1"/>
  <c r="U319" i="3" s="1"/>
  <c r="U320" i="3" s="1"/>
  <c r="U321" i="3" s="1"/>
  <c r="U322" i="3" s="1"/>
  <c r="U323" i="3" s="1"/>
  <c r="U324" i="3" s="1"/>
  <c r="U325" i="3" s="1"/>
  <c r="U326" i="3" s="1"/>
  <c r="U327" i="3" s="1"/>
  <c r="U328" i="3" s="1"/>
  <c r="U226" i="3"/>
  <c r="U227" i="3" s="1"/>
  <c r="U228" i="3" s="1"/>
  <c r="U229" i="3" s="1"/>
  <c r="U230" i="3" s="1"/>
  <c r="U231" i="3" s="1"/>
  <c r="U232" i="3" s="1"/>
  <c r="U233" i="3" s="1"/>
  <c r="U234" i="3" s="1"/>
  <c r="CP57" i="2" l="1"/>
  <c r="CO57" i="2"/>
  <c r="CN57" i="2"/>
  <c r="CM57" i="2"/>
  <c r="CP55" i="2"/>
  <c r="CO55" i="2"/>
  <c r="CN55" i="2"/>
  <c r="CM55" i="2"/>
  <c r="CP54" i="2"/>
  <c r="CO54" i="2"/>
  <c r="CN54" i="2"/>
  <c r="CM54" i="2"/>
  <c r="CP53" i="2"/>
  <c r="CO53" i="2"/>
  <c r="CN53" i="2"/>
  <c r="CM53" i="2"/>
  <c r="CP52" i="2"/>
  <c r="CO52" i="2"/>
  <c r="CN52" i="2"/>
  <c r="CM52" i="2"/>
  <c r="CP51" i="2"/>
  <c r="CO51" i="2"/>
  <c r="CN51" i="2"/>
  <c r="CM51" i="2"/>
  <c r="CP47" i="2"/>
  <c r="CO47" i="2"/>
  <c r="CN47" i="2"/>
  <c r="CM47" i="2"/>
  <c r="CP46" i="2"/>
  <c r="CO46" i="2"/>
  <c r="CN46" i="2"/>
  <c r="CM46" i="2"/>
  <c r="CP45" i="2"/>
  <c r="CO45" i="2"/>
  <c r="CN45" i="2"/>
  <c r="CM45" i="2"/>
  <c r="CP44" i="2"/>
  <c r="CO44" i="2"/>
  <c r="CN44" i="2"/>
  <c r="CM44" i="2"/>
  <c r="CP43" i="2"/>
  <c r="CO43" i="2"/>
  <c r="CN43" i="2"/>
  <c r="CM43" i="2"/>
  <c r="CP42" i="2"/>
  <c r="CO42" i="2"/>
  <c r="CN42" i="2"/>
  <c r="CM42" i="2"/>
  <c r="CP41" i="2"/>
  <c r="CO41" i="2"/>
  <c r="CN41" i="2"/>
  <c r="CM41" i="2"/>
  <c r="CM40" i="2"/>
  <c r="CN40" i="2"/>
  <c r="CO40" i="2"/>
  <c r="CP40" i="2"/>
  <c r="CP70" i="2"/>
  <c r="CO70" i="2"/>
  <c r="CN70" i="2"/>
  <c r="CM70" i="2"/>
  <c r="CP69" i="2"/>
  <c r="CO69" i="2"/>
  <c r="CN69" i="2"/>
  <c r="CM69" i="2"/>
  <c r="CQ64" i="2" l="1"/>
  <c r="CN62" i="2"/>
  <c r="CM62" i="2"/>
  <c r="CN60" i="2"/>
  <c r="CO61" i="2"/>
  <c r="CM61" i="2"/>
  <c r="CN61" i="2"/>
  <c r="CP61" i="2"/>
  <c r="CP62" i="2"/>
  <c r="CM60" i="2"/>
  <c r="CO60" i="2"/>
  <c r="CO62" i="2"/>
  <c r="CP60" i="2"/>
  <c r="BP70" i="2"/>
  <c r="BP69" i="2"/>
  <c r="BO64" i="2"/>
  <c r="BM64" i="2"/>
  <c r="BL64" i="2"/>
  <c r="BK64" i="2"/>
  <c r="BI64" i="2"/>
  <c r="BH64" i="2"/>
  <c r="BG64" i="2"/>
  <c r="BE64" i="2"/>
  <c r="BD64" i="2"/>
  <c r="BC64" i="2"/>
  <c r="BA64" i="2"/>
  <c r="AZ64" i="2"/>
  <c r="AY64" i="2"/>
  <c r="BO62" i="2"/>
  <c r="BN62" i="2"/>
  <c r="BM62" i="2"/>
  <c r="BL62" i="2"/>
  <c r="BK62" i="2"/>
  <c r="BJ62" i="2"/>
  <c r="BI62" i="2"/>
  <c r="BH62" i="2"/>
  <c r="BG62" i="2"/>
  <c r="BF62" i="2"/>
  <c r="BE62" i="2"/>
  <c r="BD62" i="2"/>
  <c r="BC62" i="2"/>
  <c r="BB62" i="2"/>
  <c r="BA62" i="2"/>
  <c r="AZ62" i="2"/>
  <c r="AY62" i="2"/>
  <c r="BO61" i="2"/>
  <c r="BN61" i="2"/>
  <c r="BM61" i="2"/>
  <c r="BL61" i="2"/>
  <c r="BK61" i="2"/>
  <c r="BJ61" i="2"/>
  <c r="BI61" i="2"/>
  <c r="BH61" i="2"/>
  <c r="BG61" i="2"/>
  <c r="BF61" i="2"/>
  <c r="BE61" i="2"/>
  <c r="BD61" i="2"/>
  <c r="BC61" i="2"/>
  <c r="BB61" i="2"/>
  <c r="BA61" i="2"/>
  <c r="AZ61" i="2"/>
  <c r="AY61" i="2"/>
  <c r="BO60" i="2"/>
  <c r="BN60" i="2"/>
  <c r="BM60" i="2"/>
  <c r="BL60" i="2"/>
  <c r="BK60" i="2"/>
  <c r="BJ60" i="2"/>
  <c r="BI60" i="2"/>
  <c r="BH60" i="2"/>
  <c r="BG60" i="2"/>
  <c r="BF60" i="2"/>
  <c r="BE60" i="2"/>
  <c r="BD60" i="2"/>
  <c r="BC60" i="2"/>
  <c r="BB60" i="2"/>
  <c r="BA60" i="2"/>
  <c r="AZ60" i="2"/>
  <c r="AY60" i="2"/>
  <c r="BP64" i="2"/>
  <c r="BP62" i="2"/>
  <c r="BP61" i="2"/>
  <c r="BP60" i="2"/>
  <c r="BP72" i="2"/>
  <c r="BO72" i="2"/>
  <c r="BN72" i="2"/>
  <c r="BM72" i="2"/>
  <c r="BL72" i="2"/>
  <c r="BK72" i="2"/>
  <c r="BJ72" i="2"/>
  <c r="BI72" i="2"/>
  <c r="BH72" i="2"/>
  <c r="BG72" i="2"/>
  <c r="BF72" i="2"/>
  <c r="BE72" i="2"/>
  <c r="BD72" i="2"/>
  <c r="BC72" i="2"/>
  <c r="BB72" i="2"/>
  <c r="BA72" i="2"/>
  <c r="AZ72" i="2"/>
  <c r="AY72" i="2"/>
  <c r="AX72" i="2"/>
  <c r="AW72" i="2"/>
  <c r="AV72" i="2"/>
  <c r="AU72" i="2"/>
  <c r="AY48" i="2"/>
  <c r="AY49" i="2" s="1"/>
  <c r="AZ48" i="2"/>
  <c r="AZ49" i="2" s="1"/>
  <c r="BA48" i="2"/>
  <c r="BA49" i="2" s="1"/>
  <c r="BB48" i="2"/>
  <c r="BC48" i="2"/>
  <c r="BC49" i="2" s="1"/>
  <c r="BD48" i="2"/>
  <c r="BD49" i="2" s="1"/>
  <c r="BE48" i="2"/>
  <c r="BE49" i="2" s="1"/>
  <c r="AX28" i="2"/>
  <c r="CL28" i="2" s="1"/>
  <c r="AX26" i="2"/>
  <c r="CL26" i="2" s="1"/>
  <c r="AX24" i="2"/>
  <c r="CL24" i="2" s="1"/>
  <c r="AX22" i="2"/>
  <c r="AX21" i="2"/>
  <c r="CL21" i="2" s="1"/>
  <c r="AX19" i="2"/>
  <c r="CL19" i="2" s="1"/>
  <c r="BF48" i="2"/>
  <c r="CN48" i="2" s="1"/>
  <c r="BG48" i="2"/>
  <c r="BG49" i="2" s="1"/>
  <c r="BH48" i="2"/>
  <c r="BH49" i="2" s="1"/>
  <c r="BI48" i="2"/>
  <c r="BI49" i="2" s="1"/>
  <c r="BB28" i="2"/>
  <c r="CM28" i="2" s="1"/>
  <c r="BB26" i="2"/>
  <c r="CM26" i="2" s="1"/>
  <c r="BB24" i="2"/>
  <c r="CM24" i="2" s="1"/>
  <c r="BB22" i="2"/>
  <c r="CM22" i="2" s="1"/>
  <c r="BB21" i="2"/>
  <c r="CM21" i="2" s="1"/>
  <c r="BB19" i="2"/>
  <c r="CM19" i="2" s="1"/>
  <c r="CM64" i="2" s="1"/>
  <c r="BK48" i="2"/>
  <c r="BK49" i="2" s="1"/>
  <c r="BL48" i="2"/>
  <c r="BL49" i="2" s="1"/>
  <c r="BJ48" i="2"/>
  <c r="CO48" i="2" s="1"/>
  <c r="BM48" i="2"/>
  <c r="BN48" i="2"/>
  <c r="CP48" i="2" s="1"/>
  <c r="CT45" i="2" s="1"/>
  <c r="BO48" i="2"/>
  <c r="BO49" i="2" s="1"/>
  <c r="BF28" i="2"/>
  <c r="CN28" i="2" s="1"/>
  <c r="BF26" i="2"/>
  <c r="BF24" i="2"/>
  <c r="CN24" i="2" s="1"/>
  <c r="BF22" i="2"/>
  <c r="BF21" i="2"/>
  <c r="CN21" i="2" s="1"/>
  <c r="BF19" i="2"/>
  <c r="CN19" i="2" s="1"/>
  <c r="CN64" i="2" s="1"/>
  <c r="BJ28" i="2"/>
  <c r="CO28" i="2" s="1"/>
  <c r="BJ26" i="2"/>
  <c r="BJ24" i="2"/>
  <c r="CO24" i="2" s="1"/>
  <c r="BJ22" i="2"/>
  <c r="CO22" i="2" s="1"/>
  <c r="BJ21" i="2"/>
  <c r="CO21" i="2" s="1"/>
  <c r="BJ19" i="2"/>
  <c r="CO19" i="2" s="1"/>
  <c r="CO64" i="2" s="1"/>
  <c r="BN28" i="2"/>
  <c r="CP28" i="2" s="1"/>
  <c r="BN26" i="2"/>
  <c r="BN24" i="2"/>
  <c r="CP24" i="2" s="1"/>
  <c r="BN22" i="2"/>
  <c r="CP22" i="2" s="1"/>
  <c r="BN21" i="2"/>
  <c r="CP21" i="2" s="1"/>
  <c r="BN19" i="2"/>
  <c r="BN64" i="2" s="1"/>
  <c r="BP56" i="2"/>
  <c r="BP58" i="2" s="1"/>
  <c r="BP49" i="2"/>
  <c r="BP6" i="2"/>
  <c r="BP5" i="2"/>
  <c r="BP4" i="2"/>
  <c r="CQ4" i="2" s="1"/>
  <c r="BN71" i="2"/>
  <c r="BM71" i="2"/>
  <c r="BL71" i="2"/>
  <c r="BK71" i="2"/>
  <c r="BJ71" i="2"/>
  <c r="BI71" i="2"/>
  <c r="BI73" i="2" s="1"/>
  <c r="BH71" i="2"/>
  <c r="BG71" i="2"/>
  <c r="BF71" i="2"/>
  <c r="BE71" i="2"/>
  <c r="BD71" i="2"/>
  <c r="BC71" i="2"/>
  <c r="BB71" i="2"/>
  <c r="BA71" i="2"/>
  <c r="BA73" i="2" s="1"/>
  <c r="AZ71" i="2"/>
  <c r="AY71" i="2"/>
  <c r="AX71" i="2"/>
  <c r="AW71" i="2"/>
  <c r="AV71" i="2"/>
  <c r="AU71" i="2"/>
  <c r="BO71" i="2"/>
  <c r="BN56" i="2"/>
  <c r="BM56" i="2"/>
  <c r="BM58" i="2" s="1"/>
  <c r="BL56" i="2"/>
  <c r="BL58" i="2" s="1"/>
  <c r="BK56" i="2"/>
  <c r="BK58" i="2" s="1"/>
  <c r="BJ56" i="2"/>
  <c r="BI56" i="2"/>
  <c r="BI58" i="2" s="1"/>
  <c r="BH56" i="2"/>
  <c r="BH58" i="2" s="1"/>
  <c r="BG56" i="2"/>
  <c r="BG58" i="2" s="1"/>
  <c r="BF56" i="2"/>
  <c r="BE56" i="2"/>
  <c r="BE58" i="2" s="1"/>
  <c r="BD56" i="2"/>
  <c r="BD58" i="2" s="1"/>
  <c r="BC56" i="2"/>
  <c r="BC58" i="2" s="1"/>
  <c r="BB56" i="2"/>
  <c r="BA56" i="2"/>
  <c r="BA58" i="2" s="1"/>
  <c r="AZ56" i="2"/>
  <c r="AZ58" i="2" s="1"/>
  <c r="AY56" i="2"/>
  <c r="AY58" i="2" s="1"/>
  <c r="BO56" i="2"/>
  <c r="BO58" i="2" s="1"/>
  <c r="BM49" i="2"/>
  <c r="BM11" i="2"/>
  <c r="BL11" i="2"/>
  <c r="BK11" i="2"/>
  <c r="BI11" i="2"/>
  <c r="BH11" i="2"/>
  <c r="BG11" i="2"/>
  <c r="BE11" i="2"/>
  <c r="BD11" i="2"/>
  <c r="BC11" i="2"/>
  <c r="BA11" i="2"/>
  <c r="AZ11" i="2"/>
  <c r="AY11" i="2"/>
  <c r="BM10" i="2"/>
  <c r="BL10" i="2"/>
  <c r="BK10" i="2"/>
  <c r="BI10" i="2"/>
  <c r="BH10" i="2"/>
  <c r="BG10" i="2"/>
  <c r="BE10" i="2"/>
  <c r="BD10" i="2"/>
  <c r="BC10" i="2"/>
  <c r="BA10" i="2"/>
  <c r="AZ10" i="2"/>
  <c r="AY10" i="2"/>
  <c r="BM9" i="2"/>
  <c r="BL9" i="2"/>
  <c r="BK9" i="2"/>
  <c r="BI9" i="2"/>
  <c r="BH9" i="2"/>
  <c r="BG9" i="2"/>
  <c r="BE9" i="2"/>
  <c r="BD9" i="2"/>
  <c r="BC9" i="2"/>
  <c r="BA9" i="2"/>
  <c r="AZ9" i="2"/>
  <c r="AY9" i="2"/>
  <c r="BO11" i="2"/>
  <c r="BO10" i="2"/>
  <c r="BO9" i="2"/>
  <c r="AX6" i="2"/>
  <c r="CL6" i="2" s="1"/>
  <c r="AX5" i="2"/>
  <c r="CL5" i="2" s="1"/>
  <c r="AX4" i="2"/>
  <c r="CL4" i="2" s="1"/>
  <c r="BB6" i="2"/>
  <c r="CM6" i="2" s="1"/>
  <c r="BB5" i="2"/>
  <c r="CM5" i="2" s="1"/>
  <c r="BB4" i="2"/>
  <c r="CM4" i="2" s="1"/>
  <c r="BF6" i="2"/>
  <c r="CN6" i="2" s="1"/>
  <c r="BF5" i="2"/>
  <c r="CN5" i="2" s="1"/>
  <c r="BF4" i="2"/>
  <c r="CN4" i="2" s="1"/>
  <c r="BJ6" i="2"/>
  <c r="CO6" i="2" s="1"/>
  <c r="BJ5" i="2"/>
  <c r="CO5" i="2" s="1"/>
  <c r="BJ4" i="2"/>
  <c r="CO4" i="2" s="1"/>
  <c r="BN6" i="2"/>
  <c r="BN5" i="2"/>
  <c r="BN4" i="2"/>
  <c r="BM7" i="2"/>
  <c r="BL7" i="2"/>
  <c r="BL18" i="2" s="1"/>
  <c r="BL35" i="2" s="1"/>
  <c r="BK7" i="2"/>
  <c r="BK18" i="2" s="1"/>
  <c r="BK35" i="2" s="1"/>
  <c r="BI7" i="2"/>
  <c r="BI15" i="2" s="1"/>
  <c r="BH7" i="2"/>
  <c r="BH15" i="2" s="1"/>
  <c r="BG7" i="2"/>
  <c r="BG15" i="2" s="1"/>
  <c r="BE7" i="2"/>
  <c r="BE18" i="2" s="1"/>
  <c r="BE20" i="2" s="1"/>
  <c r="BE23" i="2" s="1"/>
  <c r="BE25" i="2" s="1"/>
  <c r="BE27" i="2" s="1"/>
  <c r="BE31" i="2" s="1"/>
  <c r="BD7" i="2"/>
  <c r="BD18" i="2" s="1"/>
  <c r="BD35" i="2" s="1"/>
  <c r="BC7" i="2"/>
  <c r="BC14" i="2" s="1"/>
  <c r="BA7" i="2"/>
  <c r="BA15" i="2" s="1"/>
  <c r="AZ7" i="2"/>
  <c r="AZ15" i="2" s="1"/>
  <c r="AY7" i="2"/>
  <c r="AY15" i="2" s="1"/>
  <c r="AW7" i="2"/>
  <c r="AW16" i="2" s="1"/>
  <c r="AV7" i="2"/>
  <c r="AV16" i="2" s="1"/>
  <c r="AU7" i="2"/>
  <c r="AU15" i="2" s="1"/>
  <c r="BO7" i="2"/>
  <c r="BP10" i="2" l="1"/>
  <c r="CQ5" i="2"/>
  <c r="BP11" i="2"/>
  <c r="CQ6" i="2"/>
  <c r="BO15" i="2"/>
  <c r="BL63" i="2"/>
  <c r="BK63" i="2"/>
  <c r="AV73" i="2"/>
  <c r="BD73" i="2"/>
  <c r="BL73" i="2"/>
  <c r="CP5" i="2"/>
  <c r="CP10" i="2" s="1"/>
  <c r="BR10" i="2"/>
  <c r="BM15" i="2"/>
  <c r="BQ12" i="2"/>
  <c r="BF49" i="2"/>
  <c r="CN49" i="2" s="1"/>
  <c r="BQ69" i="2"/>
  <c r="BR69" i="2" s="1"/>
  <c r="CP6" i="2"/>
  <c r="CS6" i="2" s="1"/>
  <c r="BR11" i="2"/>
  <c r="CP4" i="2"/>
  <c r="CS4" i="2" s="1"/>
  <c r="CT4" i="2" s="1"/>
  <c r="CU4" i="2" s="1"/>
  <c r="CV4" i="2" s="1"/>
  <c r="CW4" i="2" s="1"/>
  <c r="CX4" i="2" s="1"/>
  <c r="CY4" i="2" s="1"/>
  <c r="CZ4" i="2" s="1"/>
  <c r="DA4" i="2" s="1"/>
  <c r="BR9" i="2"/>
  <c r="BQ70" i="2"/>
  <c r="BR70" i="2" s="1"/>
  <c r="BN49" i="2"/>
  <c r="CP49" i="2" s="1"/>
  <c r="BB73" i="2"/>
  <c r="BJ73" i="2"/>
  <c r="BK34" i="2"/>
  <c r="BJ49" i="2"/>
  <c r="CO49" i="2" s="1"/>
  <c r="CV45" i="2" s="1"/>
  <c r="AW73" i="2"/>
  <c r="BE73" i="2"/>
  <c r="BM73" i="2"/>
  <c r="BL34" i="2"/>
  <c r="BJ64" i="2"/>
  <c r="BE36" i="2"/>
  <c r="CN11" i="2"/>
  <c r="CO10" i="2"/>
  <c r="CM9" i="2"/>
  <c r="CO9" i="2"/>
  <c r="CM11" i="2"/>
  <c r="CN9" i="2"/>
  <c r="CP19" i="2"/>
  <c r="CP64" i="2" s="1"/>
  <c r="BJ58" i="2"/>
  <c r="CO58" i="2" s="1"/>
  <c r="CO56" i="2"/>
  <c r="BE33" i="2"/>
  <c r="BB64" i="2"/>
  <c r="CP11" i="2"/>
  <c r="AX73" i="2"/>
  <c r="BD34" i="2"/>
  <c r="BE38" i="2"/>
  <c r="BD63" i="2"/>
  <c r="AY73" i="2"/>
  <c r="CM71" i="2"/>
  <c r="BG73" i="2"/>
  <c r="CO71" i="2"/>
  <c r="BE34" i="2"/>
  <c r="BE63" i="2"/>
  <c r="CL22" i="2"/>
  <c r="CP26" i="2"/>
  <c r="AZ73" i="2"/>
  <c r="BH73" i="2"/>
  <c r="BB58" i="2"/>
  <c r="CM58" i="2" s="1"/>
  <c r="CM56" i="2"/>
  <c r="CM10" i="2"/>
  <c r="CN26" i="2"/>
  <c r="BF73" i="2"/>
  <c r="CN10" i="2"/>
  <c r="CO26" i="2"/>
  <c r="BF58" i="2"/>
  <c r="CN58" i="2" s="1"/>
  <c r="CN56" i="2"/>
  <c r="BN58" i="2"/>
  <c r="CP58" i="2" s="1"/>
  <c r="CP56" i="2"/>
  <c r="BB49" i="2"/>
  <c r="CM49" i="2" s="1"/>
  <c r="CM48" i="2"/>
  <c r="BE37" i="2"/>
  <c r="BF64" i="2"/>
  <c r="BE65" i="2"/>
  <c r="CN22" i="2"/>
  <c r="BO73" i="2"/>
  <c r="BE35" i="2"/>
  <c r="BE66" i="2"/>
  <c r="CO11" i="2"/>
  <c r="BN73" i="2"/>
  <c r="AU73" i="2"/>
  <c r="BC73" i="2"/>
  <c r="CN71" i="2"/>
  <c r="BK73" i="2"/>
  <c r="CP71" i="2"/>
  <c r="BP71" i="2"/>
  <c r="BP73" i="2" s="1"/>
  <c r="BF9" i="2"/>
  <c r="BE29" i="2"/>
  <c r="AU18" i="2"/>
  <c r="AZ18" i="2"/>
  <c r="BA18" i="2"/>
  <c r="BH18" i="2"/>
  <c r="BN9" i="2"/>
  <c r="BF11" i="2"/>
  <c r="BI18" i="2"/>
  <c r="BN10" i="2"/>
  <c r="BB9" i="2"/>
  <c r="AV18" i="2"/>
  <c r="BC18" i="2"/>
  <c r="BJ10" i="2"/>
  <c r="AW18" i="2"/>
  <c r="BM18" i="2"/>
  <c r="BJ11" i="2"/>
  <c r="BL20" i="2"/>
  <c r="BD20" i="2"/>
  <c r="AY18" i="2"/>
  <c r="BG18" i="2"/>
  <c r="BO18" i="2"/>
  <c r="BK20" i="2"/>
  <c r="BE12" i="2"/>
  <c r="AU14" i="2"/>
  <c r="BE15" i="2"/>
  <c r="BK12" i="2"/>
  <c r="BA12" i="2"/>
  <c r="AU16" i="2"/>
  <c r="BL12" i="2"/>
  <c r="BI12" i="2"/>
  <c r="BE14" i="2"/>
  <c r="AY16" i="2"/>
  <c r="BC12" i="2"/>
  <c r="BM12" i="2"/>
  <c r="BM14" i="2"/>
  <c r="BC16" i="2"/>
  <c r="AY14" i="2"/>
  <c r="BD12" i="2"/>
  <c r="AY12" i="2"/>
  <c r="BO16" i="2"/>
  <c r="BC15" i="2"/>
  <c r="BE68" i="2"/>
  <c r="BO12" i="2"/>
  <c r="BN11" i="2"/>
  <c r="BG14" i="2"/>
  <c r="BG12" i="2"/>
  <c r="BO14" i="2"/>
  <c r="AZ14" i="2"/>
  <c r="BH14" i="2"/>
  <c r="AV15" i="2"/>
  <c r="BD15" i="2"/>
  <c r="BL15" i="2"/>
  <c r="AZ16" i="2"/>
  <c r="BH16" i="2"/>
  <c r="BP7" i="2"/>
  <c r="CQ7" i="2" s="1"/>
  <c r="BF10" i="2"/>
  <c r="BK15" i="2"/>
  <c r="BG16" i="2"/>
  <c r="AZ12" i="2"/>
  <c r="BH12" i="2"/>
  <c r="BA14" i="2"/>
  <c r="BI14" i="2"/>
  <c r="AW15" i="2"/>
  <c r="BA16" i="2"/>
  <c r="BI16" i="2"/>
  <c r="BP9" i="2"/>
  <c r="BK14" i="2"/>
  <c r="BK16" i="2"/>
  <c r="AV14" i="2"/>
  <c r="BD14" i="2"/>
  <c r="BL14" i="2"/>
  <c r="BD16" i="2"/>
  <c r="BL16" i="2"/>
  <c r="BJ9" i="2"/>
  <c r="AW14" i="2"/>
  <c r="BE16" i="2"/>
  <c r="BM16" i="2"/>
  <c r="BB10" i="2"/>
  <c r="BB11" i="2"/>
  <c r="AX7" i="2"/>
  <c r="CL7" i="2" s="1"/>
  <c r="CL15" i="2" s="1"/>
  <c r="BF7" i="2"/>
  <c r="BF18" i="2" s="1"/>
  <c r="BF35" i="2" s="1"/>
  <c r="BB7" i="2"/>
  <c r="BB18" i="2" s="1"/>
  <c r="BJ7" i="2"/>
  <c r="BJ18" i="2" s="1"/>
  <c r="BN7" i="2"/>
  <c r="CL73" i="2" l="1"/>
  <c r="CP9" i="2"/>
  <c r="CQ9" i="2"/>
  <c r="CQ69" i="2"/>
  <c r="CQ14" i="2"/>
  <c r="CQ70" i="2"/>
  <c r="CQ11" i="2"/>
  <c r="CQ16" i="2"/>
  <c r="CQ10" i="2"/>
  <c r="CQ15" i="2"/>
  <c r="CP73" i="2"/>
  <c r="BR71" i="2"/>
  <c r="BR73" i="2" s="1"/>
  <c r="BN18" i="2"/>
  <c r="BN34" i="2" s="1"/>
  <c r="BR12" i="2"/>
  <c r="CM7" i="2"/>
  <c r="CM16" i="2" s="1"/>
  <c r="BQ71" i="2"/>
  <c r="BQ73" i="2" s="1"/>
  <c r="CQ73" i="2" s="1"/>
  <c r="CS5" i="2"/>
  <c r="CT5" i="2" s="1"/>
  <c r="CU5" i="2" s="1"/>
  <c r="CV5" i="2" s="1"/>
  <c r="CW5" i="2" s="1"/>
  <c r="CX5" i="2" s="1"/>
  <c r="CY5" i="2" s="1"/>
  <c r="CZ5" i="2" s="1"/>
  <c r="DA5" i="2" s="1"/>
  <c r="CT6" i="2"/>
  <c r="CM73" i="2"/>
  <c r="CN7" i="2"/>
  <c r="CO7" i="2"/>
  <c r="CL16" i="2"/>
  <c r="BJ20" i="2"/>
  <c r="BJ63" i="2"/>
  <c r="BJ34" i="2"/>
  <c r="BB20" i="2"/>
  <c r="BB63" i="2"/>
  <c r="BB34" i="2"/>
  <c r="BA20" i="2"/>
  <c r="BA63" i="2"/>
  <c r="BA34" i="2"/>
  <c r="BA35" i="2"/>
  <c r="AZ63" i="2"/>
  <c r="AZ34" i="2"/>
  <c r="AZ35" i="2"/>
  <c r="BF34" i="2"/>
  <c r="BD23" i="2"/>
  <c r="BD33" i="2"/>
  <c r="AU20" i="2"/>
  <c r="AU34" i="2"/>
  <c r="AU35" i="2"/>
  <c r="CN73" i="2"/>
  <c r="CP7" i="2"/>
  <c r="CQ12" i="2" s="1"/>
  <c r="BJ35" i="2"/>
  <c r="CL14" i="2"/>
  <c r="BG20" i="2"/>
  <c r="BG35" i="2"/>
  <c r="BG63" i="2"/>
  <c r="BG34" i="2"/>
  <c r="CO18" i="2"/>
  <c r="AY20" i="2"/>
  <c r="AY63" i="2"/>
  <c r="AY34" i="2"/>
  <c r="AY35" i="2"/>
  <c r="CM18" i="2"/>
  <c r="BL23" i="2"/>
  <c r="BL33" i="2"/>
  <c r="BB35" i="2"/>
  <c r="BH20" i="2"/>
  <c r="BH63" i="2"/>
  <c r="BH34" i="2"/>
  <c r="BH35" i="2"/>
  <c r="AV35" i="2"/>
  <c r="AV34" i="2"/>
  <c r="BK23" i="2"/>
  <c r="BK33" i="2"/>
  <c r="BI20" i="2"/>
  <c r="BI63" i="2"/>
  <c r="BI34" i="2"/>
  <c r="BI35" i="2"/>
  <c r="BC20" i="2"/>
  <c r="CN18" i="2"/>
  <c r="CN35" i="2" s="1"/>
  <c r="BC34" i="2"/>
  <c r="BC35" i="2"/>
  <c r="BC63" i="2"/>
  <c r="AV20" i="2"/>
  <c r="AZ20" i="2"/>
  <c r="BM20" i="2"/>
  <c r="BM35" i="2"/>
  <c r="BM63" i="2"/>
  <c r="BM34" i="2"/>
  <c r="CO73" i="2"/>
  <c r="BF20" i="2"/>
  <c r="BF33" i="2" s="1"/>
  <c r="BF63" i="2"/>
  <c r="BN20" i="2"/>
  <c r="BN63" i="2"/>
  <c r="BO63" i="2"/>
  <c r="BO34" i="2"/>
  <c r="BO35" i="2"/>
  <c r="AW20" i="2"/>
  <c r="AW35" i="2"/>
  <c r="AW34" i="2"/>
  <c r="BN35" i="2"/>
  <c r="CP18" i="2"/>
  <c r="BO20" i="2"/>
  <c r="BP12" i="2"/>
  <c r="BP18" i="2"/>
  <c r="CQ18" i="2" s="1"/>
  <c r="AX15" i="2"/>
  <c r="AX18" i="2"/>
  <c r="CL18" i="2" s="1"/>
  <c r="CL34" i="2" s="1"/>
  <c r="BP14" i="2"/>
  <c r="BN15" i="2"/>
  <c r="BN12" i="2"/>
  <c r="BJ12" i="2"/>
  <c r="BJ14" i="2"/>
  <c r="BP15" i="2"/>
  <c r="BB12" i="2"/>
  <c r="BB16" i="2"/>
  <c r="BB14" i="2"/>
  <c r="AX16" i="2"/>
  <c r="AX14" i="2"/>
  <c r="BF15" i="2"/>
  <c r="BF12" i="2"/>
  <c r="BF16" i="2"/>
  <c r="BB15" i="2"/>
  <c r="BN14" i="2"/>
  <c r="BP16" i="2"/>
  <c r="BN16" i="2"/>
  <c r="BJ15" i="2"/>
  <c r="BJ16" i="2"/>
  <c r="BF14" i="2"/>
  <c r="CP20" i="2" l="1"/>
  <c r="CN12" i="2"/>
  <c r="CQ63" i="2"/>
  <c r="CQ34" i="2"/>
  <c r="CQ35" i="2"/>
  <c r="CN15" i="2"/>
  <c r="CM14" i="2"/>
  <c r="CQ20" i="2"/>
  <c r="CQ33" i="2" s="1"/>
  <c r="CM15" i="2"/>
  <c r="CM12" i="2"/>
  <c r="CN14" i="2"/>
  <c r="CQ71" i="2"/>
  <c r="CS7" i="2"/>
  <c r="CS12" i="2" s="1"/>
  <c r="CU6" i="2"/>
  <c r="CT7" i="2"/>
  <c r="CP33" i="2"/>
  <c r="CN16" i="2"/>
  <c r="BF23" i="2"/>
  <c r="BF25" i="2" s="1"/>
  <c r="BG23" i="2"/>
  <c r="CO20" i="2"/>
  <c r="CO33" i="2" s="1"/>
  <c r="BG33" i="2"/>
  <c r="CP63" i="2"/>
  <c r="CP35" i="2"/>
  <c r="CP34" i="2"/>
  <c r="CN63" i="2"/>
  <c r="CN34" i="2"/>
  <c r="BI23" i="2"/>
  <c r="BI33" i="2"/>
  <c r="BP20" i="2"/>
  <c r="BP63" i="2"/>
  <c r="BP34" i="2"/>
  <c r="BP35" i="2"/>
  <c r="BN23" i="2"/>
  <c r="BN33" i="2"/>
  <c r="BC23" i="2"/>
  <c r="BC33" i="2"/>
  <c r="CN20" i="2"/>
  <c r="CN33" i="2" s="1"/>
  <c r="BH23" i="2"/>
  <c r="BH33" i="2"/>
  <c r="AY23" i="2"/>
  <c r="AY33" i="2"/>
  <c r="CM20" i="2"/>
  <c r="CM33" i="2" s="1"/>
  <c r="BD25" i="2"/>
  <c r="BD36" i="2"/>
  <c r="BJ23" i="2"/>
  <c r="BJ33" i="2"/>
  <c r="AU23" i="2"/>
  <c r="AU33" i="2"/>
  <c r="BM23" i="2"/>
  <c r="CP23" i="2" s="1"/>
  <c r="CP36" i="2" s="1"/>
  <c r="BM33" i="2"/>
  <c r="CP12" i="2"/>
  <c r="CP16" i="2"/>
  <c r="CP15" i="2"/>
  <c r="CP14" i="2"/>
  <c r="BA23" i="2"/>
  <c r="BA33" i="2"/>
  <c r="AZ23" i="2"/>
  <c r="AZ33" i="2"/>
  <c r="BK25" i="2"/>
  <c r="BK36" i="2"/>
  <c r="CO63" i="2"/>
  <c r="CO34" i="2"/>
  <c r="CO35" i="2"/>
  <c r="AX20" i="2"/>
  <c r="CL20" i="2" s="1"/>
  <c r="CL33" i="2" s="1"/>
  <c r="AX35" i="2"/>
  <c r="AX34" i="2"/>
  <c r="AW23" i="2"/>
  <c r="AW33" i="2"/>
  <c r="AV23" i="2"/>
  <c r="AV33" i="2"/>
  <c r="BL25" i="2"/>
  <c r="BL36" i="2"/>
  <c r="CO12" i="2"/>
  <c r="CO14" i="2"/>
  <c r="CO15" i="2"/>
  <c r="CO16" i="2"/>
  <c r="BO23" i="2"/>
  <c r="BO33" i="2"/>
  <c r="CL35" i="2"/>
  <c r="CM63" i="2"/>
  <c r="CM35" i="2"/>
  <c r="CM34" i="2"/>
  <c r="BB23" i="2"/>
  <c r="BB33" i="2"/>
  <c r="BF36" i="2" l="1"/>
  <c r="CT12" i="2"/>
  <c r="CV6" i="2"/>
  <c r="CU7" i="2"/>
  <c r="CU12" i="2" s="1"/>
  <c r="BF27" i="2"/>
  <c r="BF37" i="2"/>
  <c r="AV25" i="2"/>
  <c r="AV36" i="2"/>
  <c r="BH25" i="2"/>
  <c r="BH36" i="2"/>
  <c r="BL27" i="2"/>
  <c r="BL37" i="2"/>
  <c r="BN25" i="2"/>
  <c r="BN36" i="2"/>
  <c r="BO25" i="2"/>
  <c r="BO36" i="2"/>
  <c r="BK27" i="2"/>
  <c r="BK37" i="2"/>
  <c r="BJ25" i="2"/>
  <c r="BJ36" i="2"/>
  <c r="BP23" i="2"/>
  <c r="CQ23" i="2" s="1"/>
  <c r="CQ36" i="2" s="1"/>
  <c r="BP33" i="2"/>
  <c r="BB25" i="2"/>
  <c r="BB36" i="2"/>
  <c r="AY25" i="2"/>
  <c r="CM23" i="2"/>
  <c r="CM36" i="2" s="1"/>
  <c r="AY36" i="2"/>
  <c r="AU25" i="2"/>
  <c r="AU36" i="2"/>
  <c r="BM25" i="2"/>
  <c r="BM36" i="2"/>
  <c r="BA25" i="2"/>
  <c r="BA36" i="2"/>
  <c r="AW25" i="2"/>
  <c r="AW36" i="2"/>
  <c r="AX23" i="2"/>
  <c r="AX33" i="2"/>
  <c r="AZ25" i="2"/>
  <c r="AZ36" i="2"/>
  <c r="BD27" i="2"/>
  <c r="BD37" i="2"/>
  <c r="BC25" i="2"/>
  <c r="BC36" i="2"/>
  <c r="CN23" i="2"/>
  <c r="CN36" i="2" s="1"/>
  <c r="BI25" i="2"/>
  <c r="BI36" i="2"/>
  <c r="BG25" i="2"/>
  <c r="CO23" i="2"/>
  <c r="CO36" i="2" s="1"/>
  <c r="BG36" i="2"/>
  <c r="P1618" i="3"/>
  <c r="P1617" i="3"/>
  <c r="P1616" i="3"/>
  <c r="P1615" i="3"/>
  <c r="P1614" i="3"/>
  <c r="P1613" i="3"/>
  <c r="P1612" i="3"/>
  <c r="P1611" i="3"/>
  <c r="P1610" i="3"/>
  <c r="P1609" i="3"/>
  <c r="P1608" i="3"/>
  <c r="P1607" i="3"/>
  <c r="P1606" i="3"/>
  <c r="P1605" i="3"/>
  <c r="P1604" i="3"/>
  <c r="P1603" i="3"/>
  <c r="P1602" i="3"/>
  <c r="P1601" i="3"/>
  <c r="P1600" i="3"/>
  <c r="P1599" i="3"/>
  <c r="P1598" i="3"/>
  <c r="P1597" i="3"/>
  <c r="P1596" i="3"/>
  <c r="P1595" i="3"/>
  <c r="P1594" i="3"/>
  <c r="P1593" i="3"/>
  <c r="P1592" i="3"/>
  <c r="P1591" i="3"/>
  <c r="P1590" i="3"/>
  <c r="P1589" i="3"/>
  <c r="P1588" i="3"/>
  <c r="P1587" i="3"/>
  <c r="P1586" i="3"/>
  <c r="P1585" i="3"/>
  <c r="P1584" i="3"/>
  <c r="P1583" i="3"/>
  <c r="P1582" i="3"/>
  <c r="P1581" i="3"/>
  <c r="P1580" i="3"/>
  <c r="P1579" i="3"/>
  <c r="P1578" i="3"/>
  <c r="P1577" i="3"/>
  <c r="P1576" i="3"/>
  <c r="P1575" i="3"/>
  <c r="P1574" i="3"/>
  <c r="P1573" i="3"/>
  <c r="P1572" i="3"/>
  <c r="P1571" i="3"/>
  <c r="P1570" i="3"/>
  <c r="P1569" i="3"/>
  <c r="P1568" i="3"/>
  <c r="P1567" i="3"/>
  <c r="P1566" i="3"/>
  <c r="P1565" i="3"/>
  <c r="P1564" i="3"/>
  <c r="P1563" i="3"/>
  <c r="P1562" i="3"/>
  <c r="P1561" i="3"/>
  <c r="P1560" i="3"/>
  <c r="P1559" i="3"/>
  <c r="P1558" i="3"/>
  <c r="P1557" i="3"/>
  <c r="P1556" i="3"/>
  <c r="P1555" i="3"/>
  <c r="P1554" i="3"/>
  <c r="P1553" i="3"/>
  <c r="P1552" i="3"/>
  <c r="P1551" i="3"/>
  <c r="P1550" i="3"/>
  <c r="P1549" i="3"/>
  <c r="P1548" i="3"/>
  <c r="P1547" i="3"/>
  <c r="P1546" i="3"/>
  <c r="P1545" i="3"/>
  <c r="P1544" i="3"/>
  <c r="P1543" i="3"/>
  <c r="P1542" i="3"/>
  <c r="P1541" i="3"/>
  <c r="P1540" i="3"/>
  <c r="P1539" i="3"/>
  <c r="P1538" i="3"/>
  <c r="P1537" i="3"/>
  <c r="P1536" i="3"/>
  <c r="P1535" i="3"/>
  <c r="P1534" i="3"/>
  <c r="P1533" i="3"/>
  <c r="P1532" i="3"/>
  <c r="P1531" i="3"/>
  <c r="P1530" i="3"/>
  <c r="P1529" i="3"/>
  <c r="P1528" i="3"/>
  <c r="P1527" i="3"/>
  <c r="P1526" i="3"/>
  <c r="P1525" i="3"/>
  <c r="P1524" i="3"/>
  <c r="P1523" i="3"/>
  <c r="P1522" i="3"/>
  <c r="P1521" i="3"/>
  <c r="P1520" i="3"/>
  <c r="P1519" i="3"/>
  <c r="P1518" i="3"/>
  <c r="P1517" i="3"/>
  <c r="P1516" i="3"/>
  <c r="P1515" i="3"/>
  <c r="P1514" i="3"/>
  <c r="P1513" i="3"/>
  <c r="P1512" i="3"/>
  <c r="P1511" i="3"/>
  <c r="P1510" i="3"/>
  <c r="P1509" i="3"/>
  <c r="P1508" i="3"/>
  <c r="P1507" i="3"/>
  <c r="P1506" i="3"/>
  <c r="P1505" i="3"/>
  <c r="P1504" i="3"/>
  <c r="P1503" i="3"/>
  <c r="P1502" i="3"/>
  <c r="P1501" i="3"/>
  <c r="P1500" i="3"/>
  <c r="P1499" i="3"/>
  <c r="P1498" i="3"/>
  <c r="P1497" i="3"/>
  <c r="P1496" i="3"/>
  <c r="P1495" i="3"/>
  <c r="P1494" i="3"/>
  <c r="P1493" i="3"/>
  <c r="P1492" i="3"/>
  <c r="P1491" i="3"/>
  <c r="P1490" i="3"/>
  <c r="P1489" i="3"/>
  <c r="P1488" i="3"/>
  <c r="P1487" i="3"/>
  <c r="P1486" i="3"/>
  <c r="P1485" i="3"/>
  <c r="P1484" i="3"/>
  <c r="P1483" i="3"/>
  <c r="P1482" i="3"/>
  <c r="P1481" i="3"/>
  <c r="P1480" i="3"/>
  <c r="P1479" i="3"/>
  <c r="P1478" i="3"/>
  <c r="P1477" i="3"/>
  <c r="P1476" i="3"/>
  <c r="P1475" i="3"/>
  <c r="P1474" i="3"/>
  <c r="P1473" i="3"/>
  <c r="P1472" i="3"/>
  <c r="P1471" i="3"/>
  <c r="P1470" i="3"/>
  <c r="P1469" i="3"/>
  <c r="P1468" i="3"/>
  <c r="P1467" i="3"/>
  <c r="P1466" i="3"/>
  <c r="P1465" i="3"/>
  <c r="P1464" i="3"/>
  <c r="P1463" i="3"/>
  <c r="P1462" i="3"/>
  <c r="P1461" i="3"/>
  <c r="P1460" i="3"/>
  <c r="P1459" i="3"/>
  <c r="P1458" i="3"/>
  <c r="P1457" i="3"/>
  <c r="P1456" i="3"/>
  <c r="P1455" i="3"/>
  <c r="P1454" i="3"/>
  <c r="P1453" i="3"/>
  <c r="P1452" i="3"/>
  <c r="P1451" i="3"/>
  <c r="P1450" i="3"/>
  <c r="P1449" i="3"/>
  <c r="P1448" i="3"/>
  <c r="P1447" i="3"/>
  <c r="P1446" i="3"/>
  <c r="P1445" i="3"/>
  <c r="P1444" i="3"/>
  <c r="P1443" i="3"/>
  <c r="P1442" i="3"/>
  <c r="P1441" i="3"/>
  <c r="P1440" i="3"/>
  <c r="P1439" i="3"/>
  <c r="P1438" i="3"/>
  <c r="P1437" i="3"/>
  <c r="P1436" i="3"/>
  <c r="P1435" i="3"/>
  <c r="P1434" i="3"/>
  <c r="P1433" i="3"/>
  <c r="P1432" i="3"/>
  <c r="P1431" i="3"/>
  <c r="P1430" i="3"/>
  <c r="P1429" i="3"/>
  <c r="P1428" i="3"/>
  <c r="P1427" i="3"/>
  <c r="P1426" i="3"/>
  <c r="P1425" i="3"/>
  <c r="P1424" i="3"/>
  <c r="P1423" i="3"/>
  <c r="P1422" i="3"/>
  <c r="P1421" i="3"/>
  <c r="P1420" i="3"/>
  <c r="P1419" i="3"/>
  <c r="P1418" i="3"/>
  <c r="P1417" i="3"/>
  <c r="P1416" i="3"/>
  <c r="P1415" i="3"/>
  <c r="P1414" i="3"/>
  <c r="P1413" i="3"/>
  <c r="P1412" i="3"/>
  <c r="P1411" i="3"/>
  <c r="P1410" i="3"/>
  <c r="P1409" i="3"/>
  <c r="P1408" i="3"/>
  <c r="P1407" i="3"/>
  <c r="P1406" i="3"/>
  <c r="P1405" i="3"/>
  <c r="P1404" i="3"/>
  <c r="P1403" i="3"/>
  <c r="P1402" i="3"/>
  <c r="P1401" i="3"/>
  <c r="P1400" i="3"/>
  <c r="P1399" i="3"/>
  <c r="P1398" i="3"/>
  <c r="P1397" i="3"/>
  <c r="P1396" i="3"/>
  <c r="P1395" i="3"/>
  <c r="P1394" i="3"/>
  <c r="P1393" i="3"/>
  <c r="P1392" i="3"/>
  <c r="P1391" i="3"/>
  <c r="P1390" i="3"/>
  <c r="P1389" i="3"/>
  <c r="P1388" i="3"/>
  <c r="P1387" i="3"/>
  <c r="P1386" i="3"/>
  <c r="P1385" i="3"/>
  <c r="P1384" i="3"/>
  <c r="P1383" i="3"/>
  <c r="P1382" i="3"/>
  <c r="P1381" i="3"/>
  <c r="P1380" i="3"/>
  <c r="P1379" i="3"/>
  <c r="P1378" i="3"/>
  <c r="P1377" i="3"/>
  <c r="P1376" i="3"/>
  <c r="P1375" i="3"/>
  <c r="P1374" i="3"/>
  <c r="P1373" i="3"/>
  <c r="P1372" i="3"/>
  <c r="P1371" i="3"/>
  <c r="P1370" i="3"/>
  <c r="P1369" i="3"/>
  <c r="P1368" i="3"/>
  <c r="P1367" i="3"/>
  <c r="P1366" i="3"/>
  <c r="P1365" i="3"/>
  <c r="P1364" i="3"/>
  <c r="P1363" i="3"/>
  <c r="P1362" i="3"/>
  <c r="P1361" i="3"/>
  <c r="P1360" i="3"/>
  <c r="P1359" i="3"/>
  <c r="P1358" i="3"/>
  <c r="P1357" i="3"/>
  <c r="P1356" i="3"/>
  <c r="P1355" i="3"/>
  <c r="P1354" i="3"/>
  <c r="P1353" i="3"/>
  <c r="P1352" i="3"/>
  <c r="P1351" i="3"/>
  <c r="P1350" i="3"/>
  <c r="P1349" i="3"/>
  <c r="P1348" i="3"/>
  <c r="P1347" i="3"/>
  <c r="P1346" i="3"/>
  <c r="P1345" i="3"/>
  <c r="P1344" i="3"/>
  <c r="P1343" i="3"/>
  <c r="P1342" i="3"/>
  <c r="P1341" i="3"/>
  <c r="P1340" i="3"/>
  <c r="P1339" i="3"/>
  <c r="P1338" i="3"/>
  <c r="P1337" i="3"/>
  <c r="P1336" i="3"/>
  <c r="P1335" i="3"/>
  <c r="P1334" i="3"/>
  <c r="P1333" i="3"/>
  <c r="P1332" i="3"/>
  <c r="P1331" i="3"/>
  <c r="P1330" i="3"/>
  <c r="P1329" i="3"/>
  <c r="P1328" i="3"/>
  <c r="P1327" i="3"/>
  <c r="P1326" i="3"/>
  <c r="P1325" i="3"/>
  <c r="P1324" i="3"/>
  <c r="P1323" i="3"/>
  <c r="P1322" i="3"/>
  <c r="P1321" i="3"/>
  <c r="P1320" i="3"/>
  <c r="P1319" i="3"/>
  <c r="P1318" i="3"/>
  <c r="P1317" i="3"/>
  <c r="P1316" i="3"/>
  <c r="P1315" i="3"/>
  <c r="P1314" i="3"/>
  <c r="P1313" i="3"/>
  <c r="P1312" i="3"/>
  <c r="P1311" i="3"/>
  <c r="P1310" i="3"/>
  <c r="P1309" i="3"/>
  <c r="P1308" i="3"/>
  <c r="P1307" i="3"/>
  <c r="P1306" i="3"/>
  <c r="P1305" i="3"/>
  <c r="P1304" i="3"/>
  <c r="P1303" i="3"/>
  <c r="P1302" i="3"/>
  <c r="P1301" i="3"/>
  <c r="P1300" i="3"/>
  <c r="P1299" i="3"/>
  <c r="P1298" i="3"/>
  <c r="P1297" i="3"/>
  <c r="P1296" i="3"/>
  <c r="P1295" i="3"/>
  <c r="P1294" i="3"/>
  <c r="P1293" i="3"/>
  <c r="P1292" i="3"/>
  <c r="P1291" i="3"/>
  <c r="P1290" i="3"/>
  <c r="P1289" i="3"/>
  <c r="P1288" i="3"/>
  <c r="P1287" i="3"/>
  <c r="P1286" i="3"/>
  <c r="P1285" i="3"/>
  <c r="P1284" i="3"/>
  <c r="P1283" i="3"/>
  <c r="P1282" i="3"/>
  <c r="P1281" i="3"/>
  <c r="P1280" i="3"/>
  <c r="P1279" i="3"/>
  <c r="P1278" i="3"/>
  <c r="P1277" i="3"/>
  <c r="P1276" i="3"/>
  <c r="P1275" i="3"/>
  <c r="P1274" i="3"/>
  <c r="P1273" i="3"/>
  <c r="P1272" i="3"/>
  <c r="P1271" i="3"/>
  <c r="P1270" i="3"/>
  <c r="P1269" i="3"/>
  <c r="P1268" i="3"/>
  <c r="P1267" i="3"/>
  <c r="P1266" i="3"/>
  <c r="P1265" i="3"/>
  <c r="P1264" i="3"/>
  <c r="P1263" i="3"/>
  <c r="P1262" i="3"/>
  <c r="P1261" i="3"/>
  <c r="P1260" i="3"/>
  <c r="P1259" i="3"/>
  <c r="P1258" i="3"/>
  <c r="P1257" i="3"/>
  <c r="P1256" i="3"/>
  <c r="P1255" i="3"/>
  <c r="P1254" i="3"/>
  <c r="P1253" i="3"/>
  <c r="P1252" i="3"/>
  <c r="P1251" i="3"/>
  <c r="P1250" i="3"/>
  <c r="P1249" i="3"/>
  <c r="P1248" i="3"/>
  <c r="P1247" i="3"/>
  <c r="P1246" i="3"/>
  <c r="P1245" i="3"/>
  <c r="P1244" i="3"/>
  <c r="P1243" i="3"/>
  <c r="P1242" i="3"/>
  <c r="P1241" i="3"/>
  <c r="P1240" i="3"/>
  <c r="P1239" i="3"/>
  <c r="P1238" i="3"/>
  <c r="P1237" i="3"/>
  <c r="P1236" i="3"/>
  <c r="P1235" i="3"/>
  <c r="P1234" i="3"/>
  <c r="P1233" i="3"/>
  <c r="P1232" i="3"/>
  <c r="P1231" i="3"/>
  <c r="P1230" i="3"/>
  <c r="P1229" i="3"/>
  <c r="P1228" i="3"/>
  <c r="P1227" i="3"/>
  <c r="P1226" i="3"/>
  <c r="P1225" i="3"/>
  <c r="P1224" i="3"/>
  <c r="P1223" i="3"/>
  <c r="P1222" i="3"/>
  <c r="P1221" i="3"/>
  <c r="P1220" i="3"/>
  <c r="P1219" i="3"/>
  <c r="P1218" i="3"/>
  <c r="P1217" i="3"/>
  <c r="P1216" i="3"/>
  <c r="P1215" i="3"/>
  <c r="P1214" i="3"/>
  <c r="P1213" i="3"/>
  <c r="P1212" i="3"/>
  <c r="P1211" i="3"/>
  <c r="P1210" i="3"/>
  <c r="P1209" i="3"/>
  <c r="P1208" i="3"/>
  <c r="P1207" i="3"/>
  <c r="P1206" i="3"/>
  <c r="P1205" i="3"/>
  <c r="P1204" i="3"/>
  <c r="P1203" i="3"/>
  <c r="P1202" i="3"/>
  <c r="P1201" i="3"/>
  <c r="P1200" i="3"/>
  <c r="P1199" i="3"/>
  <c r="P1198" i="3"/>
  <c r="P1197" i="3"/>
  <c r="P1196" i="3"/>
  <c r="P1195" i="3"/>
  <c r="P1194" i="3"/>
  <c r="P1193" i="3"/>
  <c r="P1192" i="3"/>
  <c r="P1191" i="3"/>
  <c r="P1190" i="3"/>
  <c r="P1189" i="3"/>
  <c r="P1188" i="3"/>
  <c r="P1187" i="3"/>
  <c r="P1186" i="3"/>
  <c r="P1185" i="3"/>
  <c r="P1184" i="3"/>
  <c r="P1183" i="3"/>
  <c r="P1182" i="3"/>
  <c r="P1181" i="3"/>
  <c r="P1180" i="3"/>
  <c r="P1179" i="3"/>
  <c r="P1178" i="3"/>
  <c r="P1177" i="3"/>
  <c r="P1176" i="3"/>
  <c r="P1175" i="3"/>
  <c r="P1174" i="3"/>
  <c r="P1173" i="3"/>
  <c r="P1172" i="3"/>
  <c r="P1171" i="3"/>
  <c r="P1170" i="3"/>
  <c r="P1169" i="3"/>
  <c r="P1168" i="3"/>
  <c r="P1167" i="3"/>
  <c r="P1166" i="3"/>
  <c r="P1165" i="3"/>
  <c r="P1164" i="3"/>
  <c r="P1163" i="3"/>
  <c r="P1162" i="3"/>
  <c r="P1161" i="3"/>
  <c r="P1160" i="3"/>
  <c r="P1159" i="3"/>
  <c r="P1158" i="3"/>
  <c r="P1157" i="3"/>
  <c r="P1156" i="3"/>
  <c r="P1155" i="3"/>
  <c r="P1154" i="3"/>
  <c r="P1153" i="3"/>
  <c r="P1152" i="3"/>
  <c r="P1151" i="3"/>
  <c r="P1150" i="3"/>
  <c r="P1149" i="3"/>
  <c r="P1148" i="3"/>
  <c r="P1147" i="3"/>
  <c r="P1146" i="3"/>
  <c r="P1145" i="3"/>
  <c r="P1144" i="3"/>
  <c r="P1143" i="3"/>
  <c r="P1142" i="3"/>
  <c r="P1141" i="3"/>
  <c r="P1140" i="3"/>
  <c r="P1139" i="3"/>
  <c r="P1138" i="3"/>
  <c r="P1137" i="3"/>
  <c r="P1136" i="3"/>
  <c r="P1135" i="3"/>
  <c r="P1134" i="3"/>
  <c r="P1133" i="3"/>
  <c r="P1132" i="3"/>
  <c r="P1131" i="3"/>
  <c r="P1130" i="3"/>
  <c r="P1129" i="3"/>
  <c r="P1128" i="3"/>
  <c r="P1127" i="3"/>
  <c r="P1126" i="3"/>
  <c r="P1125" i="3"/>
  <c r="P1124" i="3"/>
  <c r="P1123" i="3"/>
  <c r="P1122" i="3"/>
  <c r="P1121" i="3"/>
  <c r="P1120" i="3"/>
  <c r="P1119" i="3"/>
  <c r="P1118" i="3"/>
  <c r="P1117" i="3"/>
  <c r="P1116" i="3"/>
  <c r="P1115" i="3"/>
  <c r="P1114" i="3"/>
  <c r="P1113" i="3"/>
  <c r="P1112" i="3"/>
  <c r="P1111" i="3"/>
  <c r="P1110" i="3"/>
  <c r="P1109" i="3"/>
  <c r="P1108" i="3"/>
  <c r="P1107" i="3"/>
  <c r="P1106" i="3"/>
  <c r="P1105" i="3"/>
  <c r="P1104" i="3"/>
  <c r="P1103" i="3"/>
  <c r="P1102" i="3"/>
  <c r="P1101" i="3"/>
  <c r="P1100" i="3"/>
  <c r="P1099" i="3"/>
  <c r="P1098" i="3"/>
  <c r="P1097" i="3"/>
  <c r="P1096" i="3"/>
  <c r="P1095" i="3"/>
  <c r="P1094" i="3"/>
  <c r="P1093" i="3"/>
  <c r="P1092" i="3"/>
  <c r="P1091" i="3"/>
  <c r="P1090" i="3"/>
  <c r="P1089" i="3"/>
  <c r="P1088" i="3"/>
  <c r="P1087" i="3"/>
  <c r="P1086" i="3"/>
  <c r="P1085" i="3"/>
  <c r="P1084" i="3"/>
  <c r="P1083" i="3"/>
  <c r="P1082" i="3"/>
  <c r="P1081" i="3"/>
  <c r="P1080" i="3"/>
  <c r="P1079" i="3"/>
  <c r="P1078" i="3"/>
  <c r="P1077" i="3"/>
  <c r="P1076" i="3"/>
  <c r="P1075" i="3"/>
  <c r="P1074" i="3"/>
  <c r="P1073" i="3"/>
  <c r="P1072" i="3"/>
  <c r="P1071" i="3"/>
  <c r="P1070" i="3"/>
  <c r="P1069" i="3"/>
  <c r="P1068" i="3"/>
  <c r="P1067" i="3"/>
  <c r="P1066" i="3"/>
  <c r="P1065" i="3"/>
  <c r="P1064" i="3"/>
  <c r="P1063" i="3"/>
  <c r="P1062" i="3"/>
  <c r="P1061" i="3"/>
  <c r="P1060" i="3"/>
  <c r="P1059" i="3"/>
  <c r="P1058" i="3"/>
  <c r="P1057" i="3"/>
  <c r="P1056" i="3"/>
  <c r="P1055" i="3"/>
  <c r="P1054" i="3"/>
  <c r="P1053" i="3"/>
  <c r="P1052" i="3"/>
  <c r="P1051" i="3"/>
  <c r="P1050" i="3"/>
  <c r="P1049" i="3"/>
  <c r="P1048" i="3"/>
  <c r="P1047" i="3"/>
  <c r="P1046" i="3"/>
  <c r="P1045" i="3"/>
  <c r="P1044" i="3"/>
  <c r="P1043" i="3"/>
  <c r="P1042" i="3"/>
  <c r="P1041" i="3"/>
  <c r="P1040" i="3"/>
  <c r="P1039" i="3"/>
  <c r="P1038" i="3"/>
  <c r="P1037" i="3"/>
  <c r="P1036" i="3"/>
  <c r="P1035" i="3"/>
  <c r="P1034" i="3"/>
  <c r="P1033" i="3"/>
  <c r="P1032" i="3"/>
  <c r="P1031" i="3"/>
  <c r="P1030" i="3"/>
  <c r="P1029" i="3"/>
  <c r="P1028" i="3"/>
  <c r="P1027" i="3"/>
  <c r="P1026" i="3"/>
  <c r="P1025" i="3"/>
  <c r="P1024" i="3"/>
  <c r="P1023" i="3"/>
  <c r="P1022" i="3"/>
  <c r="P1021" i="3"/>
  <c r="P1020" i="3"/>
  <c r="P1019" i="3"/>
  <c r="P1018" i="3"/>
  <c r="P1017" i="3"/>
  <c r="P1016" i="3"/>
  <c r="P1015" i="3"/>
  <c r="P1014" i="3"/>
  <c r="P1013" i="3"/>
  <c r="P1012" i="3"/>
  <c r="P1011" i="3"/>
  <c r="P1010" i="3"/>
  <c r="P1009" i="3"/>
  <c r="P1008" i="3"/>
  <c r="P1007" i="3"/>
  <c r="P1006" i="3"/>
  <c r="P1005" i="3"/>
  <c r="P1004" i="3"/>
  <c r="P1003" i="3"/>
  <c r="P1002" i="3"/>
  <c r="P1001" i="3"/>
  <c r="P1000" i="3"/>
  <c r="P999" i="3"/>
  <c r="P998" i="3"/>
  <c r="P997" i="3"/>
  <c r="P996" i="3"/>
  <c r="P995" i="3"/>
  <c r="P994" i="3"/>
  <c r="P993" i="3"/>
  <c r="P992" i="3"/>
  <c r="P991" i="3"/>
  <c r="P990" i="3"/>
  <c r="P989" i="3"/>
  <c r="P988" i="3"/>
  <c r="P987" i="3"/>
  <c r="P986" i="3"/>
  <c r="P985" i="3"/>
  <c r="P984" i="3"/>
  <c r="P983" i="3"/>
  <c r="P982" i="3"/>
  <c r="P981" i="3"/>
  <c r="P980" i="3"/>
  <c r="P979" i="3"/>
  <c r="P978" i="3"/>
  <c r="P977" i="3"/>
  <c r="P976" i="3"/>
  <c r="P975" i="3"/>
  <c r="P974" i="3"/>
  <c r="P973" i="3"/>
  <c r="P972" i="3"/>
  <c r="P971" i="3"/>
  <c r="P970" i="3"/>
  <c r="P969" i="3"/>
  <c r="P968" i="3"/>
  <c r="P967" i="3"/>
  <c r="P966" i="3"/>
  <c r="P965" i="3"/>
  <c r="P964" i="3"/>
  <c r="P963" i="3"/>
  <c r="P962" i="3"/>
  <c r="P961" i="3"/>
  <c r="P960" i="3"/>
  <c r="P959" i="3"/>
  <c r="P958" i="3"/>
  <c r="P957" i="3"/>
  <c r="P956" i="3"/>
  <c r="P955" i="3"/>
  <c r="P954" i="3"/>
  <c r="P953" i="3"/>
  <c r="P952" i="3"/>
  <c r="P951" i="3"/>
  <c r="P950" i="3"/>
  <c r="P949" i="3"/>
  <c r="P948" i="3"/>
  <c r="P947" i="3"/>
  <c r="P946" i="3"/>
  <c r="P945" i="3"/>
  <c r="P944" i="3"/>
  <c r="P943" i="3"/>
  <c r="P942" i="3"/>
  <c r="P941" i="3"/>
  <c r="P940" i="3"/>
  <c r="P939" i="3"/>
  <c r="P938" i="3"/>
  <c r="P937" i="3"/>
  <c r="P936" i="3"/>
  <c r="P935" i="3"/>
  <c r="P934" i="3"/>
  <c r="P933" i="3"/>
  <c r="P932" i="3"/>
  <c r="P931" i="3"/>
  <c r="P930" i="3"/>
  <c r="P929" i="3"/>
  <c r="P928" i="3"/>
  <c r="P927" i="3"/>
  <c r="P926" i="3"/>
  <c r="P925" i="3"/>
  <c r="P924" i="3"/>
  <c r="P923" i="3"/>
  <c r="P922" i="3"/>
  <c r="P921" i="3"/>
  <c r="P920" i="3"/>
  <c r="P919" i="3"/>
  <c r="P918" i="3"/>
  <c r="P917" i="3"/>
  <c r="P916" i="3"/>
  <c r="P915" i="3"/>
  <c r="P914" i="3"/>
  <c r="P913" i="3"/>
  <c r="P912" i="3"/>
  <c r="P911" i="3"/>
  <c r="P910" i="3"/>
  <c r="P909" i="3"/>
  <c r="P908" i="3"/>
  <c r="P907" i="3"/>
  <c r="P906" i="3"/>
  <c r="P905" i="3"/>
  <c r="P904" i="3"/>
  <c r="P903" i="3"/>
  <c r="P902" i="3"/>
  <c r="P901" i="3"/>
  <c r="P900" i="3"/>
  <c r="P899" i="3"/>
  <c r="P898" i="3"/>
  <c r="P897" i="3"/>
  <c r="P896" i="3"/>
  <c r="P895" i="3"/>
  <c r="P894" i="3"/>
  <c r="P893" i="3"/>
  <c r="P892" i="3"/>
  <c r="P891" i="3"/>
  <c r="P890" i="3"/>
  <c r="P889" i="3"/>
  <c r="P888" i="3"/>
  <c r="P887" i="3"/>
  <c r="P886" i="3"/>
  <c r="P885" i="3"/>
  <c r="P884" i="3"/>
  <c r="P883" i="3"/>
  <c r="P882" i="3"/>
  <c r="P881" i="3"/>
  <c r="P880" i="3"/>
  <c r="P879" i="3"/>
  <c r="P878" i="3"/>
  <c r="P877" i="3"/>
  <c r="P876" i="3"/>
  <c r="P875" i="3"/>
  <c r="P874" i="3"/>
  <c r="P873" i="3"/>
  <c r="P872" i="3"/>
  <c r="P871" i="3"/>
  <c r="P870" i="3"/>
  <c r="P869" i="3"/>
  <c r="P868" i="3"/>
  <c r="P867" i="3"/>
  <c r="P866" i="3"/>
  <c r="P865" i="3"/>
  <c r="P864" i="3"/>
  <c r="P863" i="3"/>
  <c r="P862" i="3"/>
  <c r="P861" i="3"/>
  <c r="P860" i="3"/>
  <c r="P859" i="3"/>
  <c r="P858" i="3"/>
  <c r="P857" i="3"/>
  <c r="P856" i="3"/>
  <c r="P855" i="3"/>
  <c r="P854" i="3"/>
  <c r="P853" i="3"/>
  <c r="P852" i="3"/>
  <c r="P851" i="3"/>
  <c r="P850" i="3"/>
  <c r="P849" i="3"/>
  <c r="P848" i="3"/>
  <c r="P847" i="3"/>
  <c r="P846" i="3"/>
  <c r="P845" i="3"/>
  <c r="P844" i="3"/>
  <c r="P843" i="3"/>
  <c r="P842" i="3"/>
  <c r="P841" i="3"/>
  <c r="P840" i="3"/>
  <c r="P839" i="3"/>
  <c r="P838" i="3"/>
  <c r="P837" i="3"/>
  <c r="P836" i="3"/>
  <c r="P835" i="3"/>
  <c r="P834" i="3"/>
  <c r="P833" i="3"/>
  <c r="P832" i="3"/>
  <c r="P831" i="3"/>
  <c r="P830" i="3"/>
  <c r="P829" i="3"/>
  <c r="P828" i="3"/>
  <c r="P827" i="3"/>
  <c r="P826" i="3"/>
  <c r="P825" i="3"/>
  <c r="P824" i="3"/>
  <c r="P823" i="3"/>
  <c r="P822" i="3"/>
  <c r="P821" i="3"/>
  <c r="P820" i="3"/>
  <c r="P819" i="3"/>
  <c r="P818" i="3"/>
  <c r="P817" i="3"/>
  <c r="P816" i="3"/>
  <c r="P815" i="3"/>
  <c r="P814" i="3"/>
  <c r="P813" i="3"/>
  <c r="P812" i="3"/>
  <c r="P811" i="3"/>
  <c r="P810" i="3"/>
  <c r="P809" i="3"/>
  <c r="P808" i="3"/>
  <c r="P807" i="3"/>
  <c r="P806" i="3"/>
  <c r="P805" i="3"/>
  <c r="P804" i="3"/>
  <c r="P803" i="3"/>
  <c r="P802" i="3"/>
  <c r="P801" i="3"/>
  <c r="P800" i="3"/>
  <c r="P799" i="3"/>
  <c r="P798" i="3"/>
  <c r="P797" i="3"/>
  <c r="P796" i="3"/>
  <c r="P795" i="3"/>
  <c r="P794" i="3"/>
  <c r="P793" i="3"/>
  <c r="P792" i="3"/>
  <c r="P791" i="3"/>
  <c r="P790" i="3"/>
  <c r="P789" i="3"/>
  <c r="P788" i="3"/>
  <c r="P787" i="3"/>
  <c r="P786" i="3"/>
  <c r="P785" i="3"/>
  <c r="P784" i="3"/>
  <c r="P783" i="3"/>
  <c r="P782" i="3"/>
  <c r="P781" i="3"/>
  <c r="P780" i="3"/>
  <c r="P779" i="3"/>
  <c r="P778" i="3"/>
  <c r="P777" i="3"/>
  <c r="P776" i="3"/>
  <c r="P775" i="3"/>
  <c r="P774" i="3"/>
  <c r="P773" i="3"/>
  <c r="P772" i="3"/>
  <c r="P771" i="3"/>
  <c r="P770" i="3"/>
  <c r="P769" i="3"/>
  <c r="P768" i="3"/>
  <c r="P767" i="3"/>
  <c r="P766" i="3"/>
  <c r="P765" i="3"/>
  <c r="P764" i="3"/>
  <c r="P763" i="3"/>
  <c r="P762" i="3"/>
  <c r="P761" i="3"/>
  <c r="P760" i="3"/>
  <c r="P759" i="3"/>
  <c r="P758" i="3"/>
  <c r="P757" i="3"/>
  <c r="P756" i="3"/>
  <c r="P755" i="3"/>
  <c r="P754" i="3"/>
  <c r="P753" i="3"/>
  <c r="P752" i="3"/>
  <c r="P751" i="3"/>
  <c r="P750" i="3"/>
  <c r="P749" i="3"/>
  <c r="P748" i="3"/>
  <c r="P747" i="3"/>
  <c r="P746" i="3"/>
  <c r="P745" i="3"/>
  <c r="P744" i="3"/>
  <c r="P743" i="3"/>
  <c r="P742" i="3"/>
  <c r="P741" i="3"/>
  <c r="P740" i="3"/>
  <c r="P739" i="3"/>
  <c r="P738" i="3"/>
  <c r="P737" i="3"/>
  <c r="P736" i="3"/>
  <c r="P735" i="3"/>
  <c r="P734" i="3"/>
  <c r="P733" i="3"/>
  <c r="P732" i="3"/>
  <c r="P731" i="3"/>
  <c r="P730" i="3"/>
  <c r="P729" i="3"/>
  <c r="P728" i="3"/>
  <c r="P727" i="3"/>
  <c r="P726" i="3"/>
  <c r="P725" i="3"/>
  <c r="P724" i="3"/>
  <c r="P723" i="3"/>
  <c r="P722" i="3"/>
  <c r="P721" i="3"/>
  <c r="P720" i="3"/>
  <c r="P719" i="3"/>
  <c r="P718" i="3"/>
  <c r="P717" i="3"/>
  <c r="P716" i="3"/>
  <c r="P715" i="3"/>
  <c r="P714" i="3"/>
  <c r="P713" i="3"/>
  <c r="P712" i="3"/>
  <c r="P711" i="3"/>
  <c r="P710" i="3"/>
  <c r="P709" i="3"/>
  <c r="P708" i="3"/>
  <c r="P707" i="3"/>
  <c r="P706" i="3"/>
  <c r="P705" i="3"/>
  <c r="P704" i="3"/>
  <c r="P703" i="3"/>
  <c r="P702" i="3"/>
  <c r="P701" i="3"/>
  <c r="P700" i="3"/>
  <c r="P699" i="3"/>
  <c r="P698" i="3"/>
  <c r="P697" i="3"/>
  <c r="P696" i="3"/>
  <c r="P695" i="3"/>
  <c r="P694" i="3"/>
  <c r="P693" i="3"/>
  <c r="P692" i="3"/>
  <c r="P691" i="3"/>
  <c r="P690" i="3"/>
  <c r="P689" i="3"/>
  <c r="P688" i="3"/>
  <c r="P687" i="3"/>
  <c r="P686" i="3"/>
  <c r="P685" i="3"/>
  <c r="P684" i="3"/>
  <c r="P683" i="3"/>
  <c r="P682" i="3"/>
  <c r="P681" i="3"/>
  <c r="P680" i="3"/>
  <c r="P679" i="3"/>
  <c r="P678" i="3"/>
  <c r="P677" i="3"/>
  <c r="P676" i="3"/>
  <c r="P675" i="3"/>
  <c r="P674" i="3"/>
  <c r="P673" i="3"/>
  <c r="P672" i="3"/>
  <c r="P671" i="3"/>
  <c r="P670" i="3"/>
  <c r="P669" i="3"/>
  <c r="P668" i="3"/>
  <c r="P667" i="3"/>
  <c r="P666" i="3"/>
  <c r="P665" i="3"/>
  <c r="P664" i="3"/>
  <c r="P663" i="3"/>
  <c r="P662" i="3"/>
  <c r="P661" i="3"/>
  <c r="P660" i="3"/>
  <c r="P659" i="3"/>
  <c r="P658" i="3"/>
  <c r="P657" i="3"/>
  <c r="P656" i="3"/>
  <c r="P655" i="3"/>
  <c r="P654" i="3"/>
  <c r="P653" i="3"/>
  <c r="P652" i="3"/>
  <c r="P651" i="3"/>
  <c r="P650" i="3"/>
  <c r="P649" i="3"/>
  <c r="P648" i="3"/>
  <c r="P647" i="3"/>
  <c r="P646" i="3"/>
  <c r="P645" i="3"/>
  <c r="P644" i="3"/>
  <c r="P643" i="3"/>
  <c r="P642" i="3"/>
  <c r="P641" i="3"/>
  <c r="P640" i="3"/>
  <c r="P639" i="3"/>
  <c r="P638" i="3"/>
  <c r="P637" i="3"/>
  <c r="P636" i="3"/>
  <c r="P635" i="3"/>
  <c r="P634" i="3"/>
  <c r="P633" i="3"/>
  <c r="P632" i="3"/>
  <c r="P631" i="3"/>
  <c r="P630" i="3"/>
  <c r="P629" i="3"/>
  <c r="P628" i="3"/>
  <c r="P627" i="3"/>
  <c r="P626" i="3"/>
  <c r="P625" i="3"/>
  <c r="P624" i="3"/>
  <c r="P623" i="3"/>
  <c r="P622" i="3"/>
  <c r="P621" i="3"/>
  <c r="P620" i="3"/>
  <c r="P619" i="3"/>
  <c r="P618" i="3"/>
  <c r="P617" i="3"/>
  <c r="P616" i="3"/>
  <c r="P615" i="3"/>
  <c r="P614" i="3"/>
  <c r="P613" i="3"/>
  <c r="P612" i="3"/>
  <c r="P611" i="3"/>
  <c r="P610" i="3"/>
  <c r="P609" i="3"/>
  <c r="P608" i="3"/>
  <c r="P607" i="3"/>
  <c r="P606" i="3"/>
  <c r="P605" i="3"/>
  <c r="P604" i="3"/>
  <c r="P603" i="3"/>
  <c r="P602" i="3"/>
  <c r="P601" i="3"/>
  <c r="P600" i="3"/>
  <c r="P599" i="3"/>
  <c r="P598" i="3"/>
  <c r="P597" i="3"/>
  <c r="P596" i="3"/>
  <c r="P595" i="3"/>
  <c r="P594" i="3"/>
  <c r="P593" i="3"/>
  <c r="P592" i="3"/>
  <c r="P591" i="3"/>
  <c r="P590" i="3"/>
  <c r="P589" i="3"/>
  <c r="P588" i="3"/>
  <c r="P587" i="3"/>
  <c r="P586" i="3"/>
  <c r="P585" i="3"/>
  <c r="P584" i="3"/>
  <c r="P583" i="3"/>
  <c r="P582" i="3"/>
  <c r="P581" i="3"/>
  <c r="P580" i="3"/>
  <c r="P579" i="3"/>
  <c r="P578" i="3"/>
  <c r="P577" i="3"/>
  <c r="P576" i="3"/>
  <c r="P575" i="3"/>
  <c r="P574" i="3"/>
  <c r="P573" i="3"/>
  <c r="P572" i="3"/>
  <c r="P571" i="3"/>
  <c r="P570" i="3"/>
  <c r="P569" i="3"/>
  <c r="P568" i="3"/>
  <c r="P567" i="3"/>
  <c r="P566" i="3"/>
  <c r="P565" i="3"/>
  <c r="P564" i="3"/>
  <c r="P563" i="3"/>
  <c r="P562" i="3"/>
  <c r="P561" i="3"/>
  <c r="P560" i="3"/>
  <c r="P559" i="3"/>
  <c r="P558" i="3"/>
  <c r="P557" i="3"/>
  <c r="P556" i="3"/>
  <c r="P555" i="3"/>
  <c r="P554" i="3"/>
  <c r="P553" i="3"/>
  <c r="P552" i="3"/>
  <c r="P551" i="3"/>
  <c r="P550" i="3"/>
  <c r="P549" i="3"/>
  <c r="P548" i="3"/>
  <c r="P547" i="3"/>
  <c r="P546" i="3"/>
  <c r="P545" i="3"/>
  <c r="P544" i="3"/>
  <c r="P543" i="3"/>
  <c r="P542" i="3"/>
  <c r="P541" i="3"/>
  <c r="P540" i="3"/>
  <c r="P539" i="3"/>
  <c r="P538" i="3"/>
  <c r="P537" i="3"/>
  <c r="P536" i="3"/>
  <c r="P535" i="3"/>
  <c r="P534" i="3"/>
  <c r="P533" i="3"/>
  <c r="P532" i="3"/>
  <c r="P531" i="3"/>
  <c r="P530" i="3"/>
  <c r="P529" i="3"/>
  <c r="P528" i="3"/>
  <c r="P527" i="3"/>
  <c r="P526" i="3"/>
  <c r="P525" i="3"/>
  <c r="P524" i="3"/>
  <c r="P523" i="3"/>
  <c r="P522" i="3"/>
  <c r="P521" i="3"/>
  <c r="P520" i="3"/>
  <c r="P519" i="3"/>
  <c r="P518" i="3"/>
  <c r="P517" i="3"/>
  <c r="P516" i="3"/>
  <c r="P515" i="3"/>
  <c r="P514" i="3"/>
  <c r="P513" i="3"/>
  <c r="P512" i="3"/>
  <c r="P511" i="3"/>
  <c r="P510" i="3"/>
  <c r="P509" i="3"/>
  <c r="P508" i="3"/>
  <c r="P507" i="3"/>
  <c r="P506" i="3"/>
  <c r="P505" i="3"/>
  <c r="P504" i="3"/>
  <c r="P503" i="3"/>
  <c r="P502" i="3"/>
  <c r="P501" i="3"/>
  <c r="P500" i="3"/>
  <c r="P499" i="3"/>
  <c r="P498" i="3"/>
  <c r="P497" i="3"/>
  <c r="P496" i="3"/>
  <c r="P495" i="3"/>
  <c r="P494" i="3"/>
  <c r="P493" i="3"/>
  <c r="P492" i="3"/>
  <c r="P491" i="3"/>
  <c r="P490" i="3"/>
  <c r="P489" i="3"/>
  <c r="P488" i="3"/>
  <c r="P487" i="3"/>
  <c r="P486" i="3"/>
  <c r="P485" i="3"/>
  <c r="P484" i="3"/>
  <c r="P483" i="3"/>
  <c r="P482" i="3"/>
  <c r="P481" i="3"/>
  <c r="P480" i="3"/>
  <c r="P479" i="3"/>
  <c r="P478" i="3"/>
  <c r="P477" i="3"/>
  <c r="P476" i="3"/>
  <c r="P475" i="3"/>
  <c r="P474" i="3"/>
  <c r="P473" i="3"/>
  <c r="P472" i="3"/>
  <c r="P471" i="3"/>
  <c r="P470" i="3"/>
  <c r="P469" i="3"/>
  <c r="P468" i="3"/>
  <c r="P467" i="3"/>
  <c r="P466" i="3"/>
  <c r="P465" i="3"/>
  <c r="P464" i="3"/>
  <c r="P463" i="3"/>
  <c r="P462" i="3"/>
  <c r="P461" i="3"/>
  <c r="P460" i="3"/>
  <c r="P459" i="3"/>
  <c r="P458" i="3"/>
  <c r="P457" i="3"/>
  <c r="P456" i="3"/>
  <c r="P455" i="3"/>
  <c r="P454" i="3"/>
  <c r="P453" i="3"/>
  <c r="P452" i="3"/>
  <c r="P451" i="3"/>
  <c r="P450" i="3"/>
  <c r="P449" i="3"/>
  <c r="P448" i="3"/>
  <c r="P447" i="3"/>
  <c r="P446" i="3"/>
  <c r="P445" i="3"/>
  <c r="P444" i="3"/>
  <c r="P443" i="3"/>
  <c r="P442" i="3"/>
  <c r="P441" i="3"/>
  <c r="P440" i="3"/>
  <c r="P439" i="3"/>
  <c r="P438" i="3"/>
  <c r="P437" i="3"/>
  <c r="P436" i="3"/>
  <c r="P435" i="3"/>
  <c r="P434" i="3"/>
  <c r="P433" i="3"/>
  <c r="P432" i="3"/>
  <c r="P431" i="3"/>
  <c r="P430" i="3"/>
  <c r="P429" i="3"/>
  <c r="P428" i="3"/>
  <c r="P427" i="3"/>
  <c r="P426" i="3"/>
  <c r="P425" i="3"/>
  <c r="P424" i="3"/>
  <c r="P423" i="3"/>
  <c r="P422" i="3"/>
  <c r="P421" i="3"/>
  <c r="P420" i="3"/>
  <c r="P419" i="3"/>
  <c r="P418" i="3"/>
  <c r="P417" i="3"/>
  <c r="P416" i="3"/>
  <c r="P415" i="3"/>
  <c r="P414" i="3"/>
  <c r="P413" i="3"/>
  <c r="P412" i="3"/>
  <c r="P411" i="3"/>
  <c r="P410" i="3"/>
  <c r="P409" i="3"/>
  <c r="P408" i="3"/>
  <c r="P407" i="3"/>
  <c r="P406" i="3"/>
  <c r="P405" i="3"/>
  <c r="P404" i="3"/>
  <c r="P403" i="3"/>
  <c r="P402" i="3"/>
  <c r="P401" i="3"/>
  <c r="P400" i="3"/>
  <c r="P399" i="3"/>
  <c r="P398" i="3"/>
  <c r="P397" i="3"/>
  <c r="P396" i="3"/>
  <c r="P395" i="3"/>
  <c r="P394" i="3"/>
  <c r="P393" i="3"/>
  <c r="P392" i="3"/>
  <c r="P391" i="3"/>
  <c r="P390" i="3"/>
  <c r="P389" i="3"/>
  <c r="P388" i="3"/>
  <c r="P387" i="3"/>
  <c r="P386" i="3"/>
  <c r="P385" i="3"/>
  <c r="P384" i="3"/>
  <c r="P383" i="3"/>
  <c r="P382" i="3"/>
  <c r="P381" i="3"/>
  <c r="P380" i="3"/>
  <c r="P379" i="3"/>
  <c r="P378" i="3"/>
  <c r="P377" i="3"/>
  <c r="P376" i="3"/>
  <c r="P375" i="3"/>
  <c r="P374" i="3"/>
  <c r="P373" i="3"/>
  <c r="P372" i="3"/>
  <c r="P371" i="3"/>
  <c r="P370" i="3"/>
  <c r="P369" i="3"/>
  <c r="P368" i="3"/>
  <c r="P367" i="3"/>
  <c r="P366" i="3"/>
  <c r="P365" i="3"/>
  <c r="P364" i="3"/>
  <c r="T212" i="3" l="1"/>
  <c r="T210" i="3"/>
  <c r="T216" i="3"/>
  <c r="T214" i="3"/>
  <c r="T213" i="3"/>
  <c r="T211" i="3"/>
  <c r="CW6" i="2"/>
  <c r="CV7" i="2"/>
  <c r="CV12" i="2" s="1"/>
  <c r="BL29" i="2"/>
  <c r="BL38" i="2"/>
  <c r="BL66" i="2"/>
  <c r="BL65" i="2"/>
  <c r="BL68" i="2"/>
  <c r="BL31" i="2"/>
  <c r="AZ27" i="2"/>
  <c r="AZ37" i="2"/>
  <c r="BM27" i="2"/>
  <c r="BM37" i="2"/>
  <c r="AY27" i="2"/>
  <c r="AY37" i="2"/>
  <c r="CM25" i="2"/>
  <c r="CM37" i="2" s="1"/>
  <c r="CP25" i="2"/>
  <c r="CP37" i="2" s="1"/>
  <c r="BJ27" i="2"/>
  <c r="BJ37" i="2"/>
  <c r="BI27" i="2"/>
  <c r="BI37" i="2"/>
  <c r="BK38" i="2"/>
  <c r="BK66" i="2"/>
  <c r="BK65" i="2"/>
  <c r="BK31" i="2"/>
  <c r="BK68" i="2"/>
  <c r="BK29" i="2"/>
  <c r="BH27" i="2"/>
  <c r="BH37" i="2"/>
  <c r="BD38" i="2"/>
  <c r="BD66" i="2"/>
  <c r="BD65" i="2"/>
  <c r="BD31" i="2"/>
  <c r="BD29" i="2"/>
  <c r="BD68" i="2"/>
  <c r="AX25" i="2"/>
  <c r="CL25" i="2" s="1"/>
  <c r="CL37" i="2" s="1"/>
  <c r="AX36" i="2"/>
  <c r="BB27" i="2"/>
  <c r="BB37" i="2"/>
  <c r="CL23" i="2"/>
  <c r="CL36" i="2" s="1"/>
  <c r="BO27" i="2"/>
  <c r="BO37" i="2"/>
  <c r="AV27" i="2"/>
  <c r="AV68" i="2" s="1"/>
  <c r="AV37" i="2"/>
  <c r="BG27" i="2"/>
  <c r="BG37" i="2"/>
  <c r="CO25" i="2"/>
  <c r="CO37" i="2" s="1"/>
  <c r="BC27" i="2"/>
  <c r="CN25" i="2"/>
  <c r="CN37" i="2" s="1"/>
  <c r="BC37" i="2"/>
  <c r="AW27" i="2"/>
  <c r="AW37" i="2"/>
  <c r="BP25" i="2"/>
  <c r="CQ25" i="2" s="1"/>
  <c r="CQ37" i="2" s="1"/>
  <c r="BP36" i="2"/>
  <c r="BA27" i="2"/>
  <c r="BA37" i="2"/>
  <c r="AU27" i="2"/>
  <c r="AU68" i="2" s="1"/>
  <c r="AU37" i="2"/>
  <c r="BN27" i="2"/>
  <c r="BN37" i="2"/>
  <c r="BF66" i="2"/>
  <c r="BF65" i="2"/>
  <c r="BF38" i="2"/>
  <c r="BF29" i="2"/>
  <c r="BF68" i="2"/>
  <c r="BF31" i="2"/>
  <c r="CM3" i="2"/>
  <c r="CN3" i="2" s="1"/>
  <c r="CO3" i="2" s="1"/>
  <c r="CP3" i="2" s="1"/>
  <c r="C7" i="1"/>
  <c r="CV57" i="2" l="1"/>
  <c r="DA47" i="2"/>
  <c r="DA48" i="2" s="1"/>
  <c r="CQ3" i="2"/>
  <c r="CR3" i="2" s="1"/>
  <c r="CS3" i="2" s="1"/>
  <c r="CT3" i="2" s="1"/>
  <c r="CU3" i="2" s="1"/>
  <c r="CV3" i="2" s="1"/>
  <c r="CW3" i="2" s="1"/>
  <c r="CX3" i="2" s="1"/>
  <c r="CY3" i="2" s="1"/>
  <c r="CZ3" i="2" s="1"/>
  <c r="DA3" i="2" s="1"/>
  <c r="DB3" i="2" s="1"/>
  <c r="DC3" i="2" s="1"/>
  <c r="DD3" i="2" s="1"/>
  <c r="DE3" i="2" s="1"/>
  <c r="DF3" i="2" s="1"/>
  <c r="DG3" i="2" s="1"/>
  <c r="DH3" i="2" s="1"/>
  <c r="DI3" i="2" s="1"/>
  <c r="DJ3" i="2" s="1"/>
  <c r="DK3" i="2" s="1"/>
  <c r="DL3" i="2" s="1"/>
  <c r="DM3" i="2" s="1"/>
  <c r="DN3" i="2" s="1"/>
  <c r="DO3" i="2" s="1"/>
  <c r="DP3" i="2" s="1"/>
  <c r="DQ3" i="2" s="1"/>
  <c r="DR3" i="2" s="1"/>
  <c r="DS3" i="2" s="1"/>
  <c r="DT3" i="2" s="1"/>
  <c r="DU3" i="2" s="1"/>
  <c r="DV3" i="2" s="1"/>
  <c r="DW3" i="2" s="1"/>
  <c r="DX3" i="2" s="1"/>
  <c r="DY3" i="2" s="1"/>
  <c r="DZ3" i="2" s="1"/>
  <c r="EA3" i="2" s="1"/>
  <c r="EB3" i="2" s="1"/>
  <c r="EC3" i="2" s="1"/>
  <c r="ED3" i="2" s="1"/>
  <c r="EE3" i="2" s="1"/>
  <c r="EF3" i="2" s="1"/>
  <c r="EG3" i="2" s="1"/>
  <c r="EH3" i="2" s="1"/>
  <c r="EI3" i="2" s="1"/>
  <c r="EJ3" i="2" s="1"/>
  <c r="EK3" i="2" s="1"/>
  <c r="EL3" i="2" s="1"/>
  <c r="EM3" i="2" s="1"/>
  <c r="EN3" i="2" s="1"/>
  <c r="EO3" i="2" s="1"/>
  <c r="EP3" i="2" s="1"/>
  <c r="EQ3" i="2" s="1"/>
  <c r="ER3" i="2" s="1"/>
  <c r="ES3" i="2" s="1"/>
  <c r="ET3" i="2" s="1"/>
  <c r="EU3" i="2" s="1"/>
  <c r="EV3" i="2" s="1"/>
  <c r="EW3" i="2" s="1"/>
  <c r="EX3" i="2" s="1"/>
  <c r="EY3" i="2" s="1"/>
  <c r="C10" i="1"/>
  <c r="CV48" i="2"/>
  <c r="CV50" i="2" s="1"/>
  <c r="CX6" i="2"/>
  <c r="CW7" i="2"/>
  <c r="CW12" i="2" s="1"/>
  <c r="BJ29" i="2"/>
  <c r="BJ38" i="2"/>
  <c r="BJ66" i="2"/>
  <c r="BJ65" i="2"/>
  <c r="BJ68" i="2"/>
  <c r="BJ31" i="2"/>
  <c r="AZ66" i="2"/>
  <c r="AZ65" i="2"/>
  <c r="AZ38" i="2"/>
  <c r="AZ68" i="2"/>
  <c r="AZ31" i="2"/>
  <c r="AZ29" i="2"/>
  <c r="BN66" i="2"/>
  <c r="BN65" i="2"/>
  <c r="BN38" i="2"/>
  <c r="BN31" i="2"/>
  <c r="BN29" i="2"/>
  <c r="BN68" i="2"/>
  <c r="CP27" i="2"/>
  <c r="AX27" i="2"/>
  <c r="CL27" i="2" s="1"/>
  <c r="CL38" i="2" s="1"/>
  <c r="AX37" i="2"/>
  <c r="BH29" i="2"/>
  <c r="BH38" i="2"/>
  <c r="BH65" i="2"/>
  <c r="BH66" i="2"/>
  <c r="BH31" i="2"/>
  <c r="BH68" i="2"/>
  <c r="CO27" i="2"/>
  <c r="BG65" i="2"/>
  <c r="BG66" i="2"/>
  <c r="BG38" i="2"/>
  <c r="BG29" i="2"/>
  <c r="BG68" i="2"/>
  <c r="BG31" i="2"/>
  <c r="BC38" i="2"/>
  <c r="CN27" i="2"/>
  <c r="BC66" i="2"/>
  <c r="BC65" i="2"/>
  <c r="BC29" i="2"/>
  <c r="CN29" i="2" s="1"/>
  <c r="BC68" i="2"/>
  <c r="CN68" i="2" s="1"/>
  <c r="BC31" i="2"/>
  <c r="CN31" i="2" s="1"/>
  <c r="AY68" i="2"/>
  <c r="AY65" i="2"/>
  <c r="AY66" i="2"/>
  <c r="CM27" i="2"/>
  <c r="AY38" i="2"/>
  <c r="AY31" i="2"/>
  <c r="AY29" i="2"/>
  <c r="BP27" i="2"/>
  <c r="CQ27" i="2" s="1"/>
  <c r="BP37" i="2"/>
  <c r="AW38" i="2"/>
  <c r="AW29" i="2"/>
  <c r="AW31" i="2"/>
  <c r="AW68" i="2"/>
  <c r="BA38" i="2"/>
  <c r="BA66" i="2"/>
  <c r="BA65" i="2"/>
  <c r="BA31" i="2"/>
  <c r="BA29" i="2"/>
  <c r="BA68" i="2"/>
  <c r="AV38" i="2"/>
  <c r="AV31" i="2"/>
  <c r="AV29" i="2"/>
  <c r="AU38" i="2"/>
  <c r="AU31" i="2"/>
  <c r="AU29" i="2"/>
  <c r="BO65" i="2"/>
  <c r="BO66" i="2"/>
  <c r="BO38" i="2"/>
  <c r="BO68" i="2"/>
  <c r="BO29" i="2"/>
  <c r="BO31" i="2"/>
  <c r="BB38" i="2"/>
  <c r="BB65" i="2"/>
  <c r="BB66" i="2"/>
  <c r="BB68" i="2"/>
  <c r="BB29" i="2"/>
  <c r="BB31" i="2"/>
  <c r="BI38" i="2"/>
  <c r="BI66" i="2"/>
  <c r="BI65" i="2"/>
  <c r="BI68" i="2"/>
  <c r="BI31" i="2"/>
  <c r="BI29" i="2"/>
  <c r="BM38" i="2"/>
  <c r="BM66" i="2"/>
  <c r="BM65" i="2"/>
  <c r="BM29" i="2"/>
  <c r="BM68" i="2"/>
  <c r="CP68" i="2" s="1"/>
  <c r="BM31" i="2"/>
  <c r="T215" i="3"/>
  <c r="CQ66" i="2" l="1"/>
  <c r="CQ65" i="2"/>
  <c r="CQ68" i="2"/>
  <c r="CQ38" i="2"/>
  <c r="CP31" i="2"/>
  <c r="CV49" i="2"/>
  <c r="CY6" i="2"/>
  <c r="CX7" i="2"/>
  <c r="CX12" i="2" s="1"/>
  <c r="CM68" i="2"/>
  <c r="CP29" i="2"/>
  <c r="CO29" i="2"/>
  <c r="V225" i="3"/>
  <c r="V223" i="3"/>
  <c r="V224" i="3"/>
  <c r="V235" i="3"/>
  <c r="V222" i="3"/>
  <c r="V260" i="3"/>
  <c r="V236" i="3"/>
  <c r="V327" i="3"/>
  <c r="V310" i="3"/>
  <c r="V246" i="3"/>
  <c r="V279" i="3"/>
  <c r="V285" i="3"/>
  <c r="V324" i="3"/>
  <c r="V267" i="3"/>
  <c r="V298" i="3"/>
  <c r="V226" i="3"/>
  <c r="V233" i="3"/>
  <c r="V240" i="3"/>
  <c r="V315" i="3"/>
  <c r="V284" i="3"/>
  <c r="V274" i="3"/>
  <c r="V289" i="3"/>
  <c r="V270" i="3"/>
  <c r="V309" i="3"/>
  <c r="V265" i="3"/>
  <c r="V276" i="3"/>
  <c r="V237" i="3"/>
  <c r="V256" i="3"/>
  <c r="V295" i="3"/>
  <c r="V306" i="3"/>
  <c r="V252" i="3"/>
  <c r="V268" i="3"/>
  <c r="V303" i="3"/>
  <c r="V302" i="3"/>
  <c r="V238" i="3"/>
  <c r="V263" i="3"/>
  <c r="V277" i="3"/>
  <c r="V323" i="3"/>
  <c r="V259" i="3"/>
  <c r="V290" i="3"/>
  <c r="V316" i="3"/>
  <c r="V300" i="3"/>
  <c r="V232" i="3"/>
  <c r="V251" i="3"/>
  <c r="V292" i="3"/>
  <c r="V308" i="3"/>
  <c r="V313" i="3"/>
  <c r="V239" i="3"/>
  <c r="V322" i="3"/>
  <c r="V296" i="3"/>
  <c r="V283" i="3"/>
  <c r="V272" i="3"/>
  <c r="V229" i="3"/>
  <c r="V255" i="3"/>
  <c r="V244" i="3"/>
  <c r="V287" i="3"/>
  <c r="V294" i="3"/>
  <c r="V230" i="3"/>
  <c r="V231" i="3"/>
  <c r="V269" i="3"/>
  <c r="V282" i="3"/>
  <c r="V328" i="3"/>
  <c r="V258" i="3"/>
  <c r="V319" i="3"/>
  <c r="V257" i="3"/>
  <c r="V228" i="3"/>
  <c r="V242" i="3"/>
  <c r="V241" i="3"/>
  <c r="V271" i="3"/>
  <c r="V286" i="3"/>
  <c r="V281" i="3"/>
  <c r="V325" i="3"/>
  <c r="V261" i="3"/>
  <c r="V307" i="3"/>
  <c r="V243" i="3"/>
  <c r="V297" i="3"/>
  <c r="V264" i="3"/>
  <c r="V245" i="3"/>
  <c r="V280" i="3"/>
  <c r="V326" i="3"/>
  <c r="V250" i="3"/>
  <c r="V254" i="3"/>
  <c r="V293" i="3"/>
  <c r="V249" i="3"/>
  <c r="V234" i="3"/>
  <c r="V321" i="3"/>
  <c r="V247" i="3"/>
  <c r="V278" i="3"/>
  <c r="V312" i="3"/>
  <c r="V317" i="3"/>
  <c r="V253" i="3"/>
  <c r="V299" i="3"/>
  <c r="V227" i="3"/>
  <c r="V266" i="3"/>
  <c r="V273" i="3"/>
  <c r="V304" i="3"/>
  <c r="V320" i="3"/>
  <c r="V305" i="3"/>
  <c r="V291" i="3"/>
  <c r="V288" i="3"/>
  <c r="V262" i="3"/>
  <c r="V314" i="3"/>
  <c r="V311" i="3"/>
  <c r="V318" i="3"/>
  <c r="V275" i="3"/>
  <c r="V248" i="3"/>
  <c r="V301" i="3"/>
  <c r="CM29" i="2"/>
  <c r="BP29" i="2"/>
  <c r="CQ29" i="2" s="1"/>
  <c r="BP38" i="2"/>
  <c r="BP66" i="2"/>
  <c r="BP65" i="2"/>
  <c r="BP31" i="2"/>
  <c r="CQ31" i="2" s="1"/>
  <c r="BP68" i="2"/>
  <c r="CO66" i="2"/>
  <c r="CO65" i="2"/>
  <c r="CO38" i="2"/>
  <c r="AX38" i="2"/>
  <c r="AX29" i="2"/>
  <c r="CL29" i="2" s="1"/>
  <c r="AX68" i="2"/>
  <c r="AX31" i="2"/>
  <c r="CL31" i="2" s="1"/>
  <c r="CM38" i="2"/>
  <c r="CM66" i="2"/>
  <c r="CM65" i="2"/>
  <c r="CP38" i="2"/>
  <c r="CP66" i="2"/>
  <c r="CP65" i="2"/>
  <c r="CO31" i="2"/>
  <c r="CM31" i="2"/>
  <c r="CN66" i="2"/>
  <c r="CN65" i="2"/>
  <c r="CN38" i="2"/>
  <c r="CO68" i="2"/>
  <c r="Y233" i="3"/>
  <c r="Y223" i="3"/>
  <c r="Y222" i="3"/>
  <c r="Y225" i="3"/>
  <c r="Y232" i="3"/>
  <c r="Y224" i="3"/>
  <c r="Y235" i="3"/>
  <c r="Y231" i="3"/>
  <c r="Y227" i="3"/>
  <c r="Y230" i="3"/>
  <c r="Y234" i="3"/>
  <c r="Y229" i="3"/>
  <c r="Y226" i="3"/>
  <c r="Y228" i="3"/>
  <c r="CV51" i="2" l="1"/>
  <c r="CV64" i="2"/>
  <c r="CZ6" i="2"/>
  <c r="CY7" i="2"/>
  <c r="CY12" i="2" s="1"/>
  <c r="DA6" i="2" l="1"/>
  <c r="DA7" i="2" s="1"/>
  <c r="CZ7" i="2"/>
  <c r="CZ12" i="2" s="1"/>
  <c r="DA12" i="2" l="1"/>
  <c r="CS18" i="2" l="1"/>
  <c r="CS22" i="2" s="1"/>
  <c r="CU18" i="2" l="1"/>
  <c r="CS19" i="2"/>
  <c r="CT18" i="2"/>
  <c r="CS20" i="2"/>
  <c r="CS21" i="2"/>
  <c r="CX45" i="2" l="1"/>
  <c r="CX46" i="2" s="1"/>
  <c r="CS23" i="2"/>
  <c r="CS36" i="2" s="1"/>
  <c r="CT19" i="2"/>
  <c r="CT22" i="2"/>
  <c r="CT21" i="2"/>
  <c r="CT20" i="2"/>
  <c r="CU21" i="2"/>
  <c r="CU20" i="2"/>
  <c r="CU22" i="2"/>
  <c r="CU19" i="2"/>
  <c r="CV18" i="2"/>
  <c r="CS24" i="2" l="1"/>
  <c r="CR36" i="2"/>
  <c r="CT23" i="2"/>
  <c r="CT36" i="2" s="1"/>
  <c r="CU23" i="2"/>
  <c r="CV19" i="2"/>
  <c r="CV20" i="2"/>
  <c r="CV22" i="2"/>
  <c r="CV21" i="2"/>
  <c r="CW18" i="2"/>
  <c r="CR38" i="2" l="1"/>
  <c r="CV23" i="2"/>
  <c r="CV36" i="2" s="1"/>
  <c r="CX18" i="2"/>
  <c r="CU36" i="2"/>
  <c r="CW19" i="2"/>
  <c r="CW21" i="2"/>
  <c r="CW20" i="2"/>
  <c r="CW22" i="2"/>
  <c r="CS25" i="2"/>
  <c r="CW23" i="2" l="1"/>
  <c r="CW36" i="2" s="1"/>
  <c r="CX21" i="2"/>
  <c r="CX19" i="2"/>
  <c r="CX20" i="2"/>
  <c r="CX22" i="2"/>
  <c r="CS26" i="2"/>
  <c r="CS27" i="2" s="1"/>
  <c r="CY18" i="2"/>
  <c r="CS38" i="2" l="1"/>
  <c r="CS40" i="2"/>
  <c r="CT24" i="2" s="1"/>
  <c r="CX23" i="2"/>
  <c r="CY21" i="2"/>
  <c r="CY22" i="2"/>
  <c r="CY19" i="2"/>
  <c r="CY20" i="2"/>
  <c r="DA18" i="2"/>
  <c r="CZ18" i="2"/>
  <c r="CY23" i="2" l="1"/>
  <c r="CY36" i="2" s="1"/>
  <c r="CX36" i="2"/>
  <c r="CT25" i="2"/>
  <c r="CZ19" i="2"/>
  <c r="CZ22" i="2"/>
  <c r="CZ21" i="2"/>
  <c r="CZ20" i="2"/>
  <c r="DA20" i="2"/>
  <c r="DA22" i="2"/>
  <c r="DA21" i="2"/>
  <c r="DA19" i="2"/>
  <c r="CT26" i="2" l="1"/>
  <c r="CT27" i="2" s="1"/>
  <c r="DA23" i="2"/>
  <c r="CZ23" i="2"/>
  <c r="CT38" i="2" l="1"/>
  <c r="CT40" i="2"/>
  <c r="CU24" i="2" s="1"/>
  <c r="CZ36" i="2"/>
  <c r="DA36" i="2"/>
  <c r="CU25" i="2" l="1"/>
  <c r="CU26" i="2" l="1"/>
  <c r="CU27" i="2" s="1"/>
  <c r="CU38" i="2" l="1"/>
  <c r="CU40" i="2"/>
  <c r="CV24" i="2" s="1"/>
  <c r="CV25" i="2" l="1"/>
  <c r="CV26" i="2" l="1"/>
  <c r="CV27" i="2" s="1"/>
  <c r="CV38" i="2" l="1"/>
  <c r="CV40" i="2"/>
  <c r="CW24" i="2" s="1"/>
  <c r="CW25" i="2" l="1"/>
  <c r="CW26" i="2" l="1"/>
  <c r="CW27" i="2" s="1"/>
  <c r="CW38" i="2" l="1"/>
  <c r="CW40" i="2"/>
  <c r="CX24" i="2" s="1"/>
  <c r="CX25" i="2" l="1"/>
  <c r="CX26" i="2" l="1"/>
  <c r="CX27" i="2" s="1"/>
  <c r="CX38" i="2" l="1"/>
  <c r="CX40" i="2"/>
  <c r="CY24" i="2" s="1"/>
  <c r="CY25" i="2" l="1"/>
  <c r="CY26" i="2" l="1"/>
  <c r="CY27" i="2" s="1"/>
  <c r="CY38" i="2" l="1"/>
  <c r="CY40" i="2"/>
  <c r="CZ24" i="2" s="1"/>
  <c r="CZ25" i="2" l="1"/>
  <c r="CZ26" i="2" l="1"/>
  <c r="CZ27" i="2" s="1"/>
  <c r="CZ38" i="2" l="1"/>
  <c r="CZ40" i="2"/>
  <c r="DA24" i="2" s="1"/>
  <c r="DA25" i="2" l="1"/>
  <c r="DA26" i="2" l="1"/>
  <c r="DA27" i="2" s="1"/>
  <c r="DA38" i="2" l="1"/>
  <c r="DB27" i="2"/>
  <c r="DC27" i="2" s="1"/>
  <c r="DD27" i="2" s="1"/>
  <c r="DE27" i="2" s="1"/>
  <c r="DF27" i="2" s="1"/>
  <c r="DG27" i="2" s="1"/>
  <c r="DH27" i="2" s="1"/>
  <c r="DI27" i="2" s="1"/>
  <c r="DJ27" i="2" s="1"/>
  <c r="DK27" i="2" s="1"/>
  <c r="DL27" i="2" s="1"/>
  <c r="DM27" i="2" s="1"/>
  <c r="DN27" i="2" s="1"/>
  <c r="DO27" i="2" s="1"/>
  <c r="DP27" i="2" s="1"/>
  <c r="DQ27" i="2" s="1"/>
  <c r="DR27" i="2" s="1"/>
  <c r="DS27" i="2" s="1"/>
  <c r="DT27" i="2" s="1"/>
  <c r="DU27" i="2" s="1"/>
  <c r="DV27" i="2" s="1"/>
  <c r="DW27" i="2" s="1"/>
  <c r="DX27" i="2" s="1"/>
  <c r="DY27" i="2" s="1"/>
  <c r="DZ27" i="2" s="1"/>
  <c r="EA27" i="2" s="1"/>
  <c r="EB27" i="2" s="1"/>
  <c r="EC27" i="2" s="1"/>
  <c r="ED27" i="2" s="1"/>
  <c r="EE27" i="2" s="1"/>
  <c r="EF27" i="2" s="1"/>
  <c r="EG27" i="2" s="1"/>
  <c r="EH27" i="2" s="1"/>
  <c r="EI27" i="2" s="1"/>
  <c r="EJ27" i="2" s="1"/>
  <c r="EK27" i="2" s="1"/>
  <c r="EL27" i="2" s="1"/>
  <c r="EM27" i="2" s="1"/>
  <c r="EN27" i="2" s="1"/>
  <c r="EO27" i="2" s="1"/>
  <c r="EP27" i="2" s="1"/>
  <c r="EQ27" i="2" s="1"/>
  <c r="ER27" i="2" s="1"/>
  <c r="ES27" i="2" s="1"/>
  <c r="ET27" i="2" s="1"/>
  <c r="EU27" i="2" s="1"/>
  <c r="EV27" i="2" s="1"/>
  <c r="EW27" i="2" s="1"/>
  <c r="EX27" i="2" s="1"/>
  <c r="EY27" i="2" s="1"/>
  <c r="DA50" i="2" s="1"/>
  <c r="DA52" i="2" s="1"/>
  <c r="DA40" i="2"/>
  <c r="DA54" i="2" l="1"/>
  <c r="DB54" i="2" s="1"/>
  <c r="CZ55" i="2" l="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<sst xmlns="http://schemas.openxmlformats.org/spreadsheetml/2006/main" count="2957" uniqueCount="1700">
  <si>
    <t xml:space="preserve">Price </t>
  </si>
  <si>
    <t>SO</t>
  </si>
  <si>
    <t>MC</t>
  </si>
  <si>
    <t>Cash</t>
  </si>
  <si>
    <t>Debt</t>
  </si>
  <si>
    <t>EV</t>
  </si>
  <si>
    <t>Investor Relations Contact:</t>
  </si>
  <si>
    <t>SEC filings</t>
  </si>
  <si>
    <t>Godel Terminal</t>
  </si>
  <si>
    <t>Company Overview:</t>
  </si>
  <si>
    <t>[Bold Title]</t>
  </si>
  <si>
    <t>Line Titles</t>
  </si>
  <si>
    <t>&lt;-- General</t>
  </si>
  <si>
    <t>&lt;-- Info</t>
  </si>
  <si>
    <t>Institutional Ownership Snapshot (4/14/2025)</t>
  </si>
  <si>
    <t>Notes:</t>
  </si>
  <si>
    <t>[X]</t>
  </si>
  <si>
    <t>[Y]</t>
  </si>
  <si>
    <t>[Z]</t>
  </si>
  <si>
    <t>Total Revenues, Net Income, FCF</t>
  </si>
  <si>
    <t>Close</t>
  </si>
  <si>
    <t>High</t>
  </si>
  <si>
    <t>Low</t>
  </si>
  <si>
    <t>Open</t>
  </si>
  <si>
    <t>Volume</t>
  </si>
  <si>
    <t>UTC Date</t>
  </si>
  <si>
    <t>Change</t>
  </si>
  <si>
    <t>Min</t>
  </si>
  <si>
    <t>Max</t>
  </si>
  <si>
    <t>Mean μ</t>
  </si>
  <si>
    <t>Median</t>
  </si>
  <si>
    <t>SD σ</t>
  </si>
  <si>
    <t xml:space="preserve">  3σ 1-Day Δ: ±</t>
  </si>
  <si>
    <t>β (1-year avg.)</t>
  </si>
  <si>
    <t>&lt;- Sortino Ratio (Downside Risk Adjusted Return)</t>
  </si>
  <si>
    <r>
      <rPr>
        <i/>
        <sz val="11"/>
        <color theme="1"/>
        <rFont val="Calibre"/>
      </rPr>
      <t>n</t>
    </r>
    <r>
      <rPr>
        <sz val="11"/>
        <color theme="1"/>
        <rFont val="Calibre"/>
      </rPr>
      <t xml:space="preserve"> =</t>
    </r>
  </si>
  <si>
    <t>Histogram Data</t>
  </si>
  <si>
    <t>Distribution Overlay</t>
  </si>
  <si>
    <t>SD Lines</t>
  </si>
  <si>
    <t>Bin</t>
  </si>
  <si>
    <t>Frequency</t>
  </si>
  <si>
    <r>
      <t xml:space="preserve"> (X) 1-Day</t>
    </r>
    <r>
      <rPr>
        <b/>
        <i/>
        <sz val="11"/>
        <color theme="1"/>
        <rFont val="Calibri"/>
        <family val="2"/>
        <scheme val="minor"/>
      </rPr>
      <t xml:space="preserve"> Δ </t>
    </r>
    <r>
      <rPr>
        <i/>
        <sz val="11"/>
        <color theme="1"/>
        <rFont val="Calibri"/>
        <family val="2"/>
        <scheme val="minor"/>
      </rPr>
      <t xml:space="preserve"> </t>
    </r>
  </si>
  <si>
    <t xml:space="preserve">(Y) Pop. Density </t>
  </si>
  <si>
    <t>X</t>
  </si>
  <si>
    <t>Y</t>
  </si>
  <si>
    <t>Q1 2009</t>
  </si>
  <si>
    <t>Q2 2009</t>
  </si>
  <si>
    <t>Q3 2009</t>
  </si>
  <si>
    <t>Q4 2009</t>
  </si>
  <si>
    <t>Q1 2010</t>
  </si>
  <si>
    <t>Q2 2010</t>
  </si>
  <si>
    <t>Q3 2010</t>
  </si>
  <si>
    <t>Q4 2010</t>
  </si>
  <si>
    <t>Q1 2011</t>
  </si>
  <si>
    <t>Q2 2011</t>
  </si>
  <si>
    <t>Q3 2011</t>
  </si>
  <si>
    <t>Q4 2011</t>
  </si>
  <si>
    <t>Q1 2012</t>
  </si>
  <si>
    <t>Q2 2012</t>
  </si>
  <si>
    <t>Q3 2012</t>
  </si>
  <si>
    <t>Q4 2012</t>
  </si>
  <si>
    <t>Q1 2013</t>
  </si>
  <si>
    <t>Q2 2013</t>
  </si>
  <si>
    <t>Q3 2013</t>
  </si>
  <si>
    <t>Q4 2013</t>
  </si>
  <si>
    <t>Q1 2014</t>
  </si>
  <si>
    <t>Q2 2014</t>
  </si>
  <si>
    <t>Q3 2014</t>
  </si>
  <si>
    <t>Q4 2014</t>
  </si>
  <si>
    <t>Q1 2015</t>
  </si>
  <si>
    <t>Q2 2015</t>
  </si>
  <si>
    <t>Q3 2015</t>
  </si>
  <si>
    <t>Q4 2015</t>
  </si>
  <si>
    <t>Q1 2016</t>
  </si>
  <si>
    <t>Q2 2016</t>
  </si>
  <si>
    <t>Q3 2016</t>
  </si>
  <si>
    <t>Q4 2016</t>
  </si>
  <si>
    <t>Q1 2017</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</si>
  <si>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</si>
  <si>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</si>
  <si>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</si>
  <si>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</si>
  <si>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</si>
  <si>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</si>
  <si>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</si>
  <si>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</si>
  <si>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</si>
  <si>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</si>
  <si>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</si>
  <si>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</si>
  <si>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</si>
  <si>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</si>
  <si>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</si>
  <si>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</si>
  <si>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</si>
  <si>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</si>
  <si>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</si>
  <si>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</si>
  <si>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</si>
  <si>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</si>
  <si>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</si>
  <si>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</si>
  <si>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</si>
  <si>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</si>
  <si>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</si>
  <si>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</si>
  <si>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</si>
  <si>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</si>
  <si>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</si>
  <si>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</si>
  <si>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</si>
  <si>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Q3 2025</t>
  </si>
  <si>
    <t>Q4 2025</t>
  </si>
  <si>
    <t>Q1 2026</t>
  </si>
  <si>
    <t>Q2 2026</t>
  </si>
  <si>
    <t>Q3 2026</t>
  </si>
  <si>
    <t>Q4 2026</t>
  </si>
  <si>
    <t>[Use for Graphing]</t>
  </si>
  <si>
    <t>Quarterly</t>
  </si>
  <si>
    <t>Revenues</t>
  </si>
  <si>
    <t>Ttl Revenues</t>
  </si>
  <si>
    <t>GP</t>
  </si>
  <si>
    <t>Gross Profit Margin</t>
  </si>
  <si>
    <t>R&amp;D as % of Revenue</t>
  </si>
  <si>
    <t>SG&amp;A as % of Revenue</t>
  </si>
  <si>
    <t>Operating Profit Margin</t>
  </si>
  <si>
    <t>Effective Tax Rate</t>
  </si>
  <si>
    <t>Net Profit Margin</t>
  </si>
  <si>
    <t xml:space="preserve">Cash &amp; CEs </t>
  </si>
  <si>
    <t>ST Investments</t>
  </si>
  <si>
    <t>Current Ratio</t>
  </si>
  <si>
    <t>Quick Ratio</t>
  </si>
  <si>
    <t>Cash Ratio</t>
  </si>
  <si>
    <t>Ttl Asset Turnover</t>
  </si>
  <si>
    <t>Inventory Turnover Ratio</t>
  </si>
  <si>
    <t>Return on Assets</t>
  </si>
  <si>
    <t>Return on Equity</t>
  </si>
  <si>
    <t>Net Income</t>
  </si>
  <si>
    <t>CFFO</t>
  </si>
  <si>
    <t>CapEx, net</t>
  </si>
  <si>
    <t>FCF</t>
  </si>
  <si>
    <t>SC</t>
  </si>
  <si>
    <t>FCF per Share</t>
  </si>
  <si>
    <t>Revenues:</t>
  </si>
  <si>
    <t>Earnings Scope:</t>
  </si>
  <si>
    <t>Balance Sheet Scope:</t>
  </si>
  <si>
    <t>[Equity Preformance Compared to Peers]</t>
  </si>
  <si>
    <t>Mean</t>
  </si>
  <si>
    <t>-3σ</t>
  </si>
  <si>
    <t>-2σ</t>
  </si>
  <si>
    <t>-1σ</t>
  </si>
  <si>
    <t>1σ</t>
  </si>
  <si>
    <t>2σ</t>
  </si>
  <si>
    <t>3σ</t>
  </si>
  <si>
    <t xml:space="preserve">Email: </t>
  </si>
  <si>
    <t>&lt;- Sharpe Ratio (Risk Adjusted Return)</t>
  </si>
  <si>
    <t>Earnings Calls</t>
  </si>
  <si>
    <t>Equity Analysis</t>
  </si>
  <si>
    <t>https://app.godelterminal.com/</t>
  </si>
  <si>
    <t>Investors Relation Department</t>
  </si>
  <si>
    <t>Business Segments and Geographical Info:</t>
  </si>
  <si>
    <t>Employee Scope:</t>
  </si>
  <si>
    <t>Resources:</t>
  </si>
  <si>
    <t>Capital Structure Snapshot:</t>
  </si>
  <si>
    <t>ISRG</t>
  </si>
  <si>
    <t>Address: 1020 Kifer Road, Sunnyvale, California 94086</t>
  </si>
  <si>
    <t>Registered Exchange: NASDAQ</t>
  </si>
  <si>
    <t>Intuitive Surgical, Inc. (ISRG)</t>
  </si>
  <si>
    <t>Industry: Medical Instruments &amp; Supplies</t>
  </si>
  <si>
    <t>Sector: Healthcare</t>
  </si>
  <si>
    <t>Founded: 1995</t>
  </si>
  <si>
    <t>https://www.intuitive.com/en-us</t>
  </si>
  <si>
    <t>Intuitive Homepage</t>
  </si>
  <si>
    <t>https://isrg.intuitive.com/</t>
  </si>
  <si>
    <t>Intuitive IR Page</t>
  </si>
  <si>
    <t>https://seekingalpha.com/symbol/ISRG/earnings/transcripts</t>
  </si>
  <si>
    <t>https://stockanalysis.com/stocks/isrg/company/</t>
  </si>
  <si>
    <t>Phone: (408) 523-2161</t>
  </si>
  <si>
    <t>investor.relations@intusurg.com</t>
  </si>
  <si>
    <t>IPO: June 13, 2000 -- ~$116M valuation</t>
  </si>
  <si>
    <t>Employees: 15,638 (Q4'24)</t>
  </si>
  <si>
    <t>Headquarters: Sunnyvale, CA</t>
  </si>
  <si>
    <t>Intuitive Surgical, Inc. develops, manufactures, and markets products that enable physicians and healthcare providers to enhance the quality of and access to minimally invasive care in the United States and internationally</t>
  </si>
  <si>
    <t>It also provides a suite of stapling, energy, and core instrumentation for its multi-port da Vinci surgical systems; progressive learning pathways to support the use of its technology</t>
  </si>
  <si>
    <t>Infrastructure of service and support specialists, a complement of services to its customers</t>
  </si>
  <si>
    <t>Wed, 11 Jun 2025 00:00:00 GMT</t>
  </si>
  <si>
    <t>Tue, 10 Jun 2025 00:00:00 GMT</t>
  </si>
  <si>
    <t>Mon, 09 Jun 2025 00:00:00 GMT</t>
  </si>
  <si>
    <t>Fri, 06 Jun 2025 00:00:00 GMT</t>
  </si>
  <si>
    <t>Thu, 05 Jun 2025 00:00:00 GMT</t>
  </si>
  <si>
    <t>Wed, 04 Jun 2025 00:00:00 GMT</t>
  </si>
  <si>
    <t>Tue, 03 Jun 2025 00:00:00 GMT</t>
  </si>
  <si>
    <t>Mon, 02 Jun 2025 00:00:00 GMT</t>
  </si>
  <si>
    <t>Fri, 30 May 2025 00:00:00 GMT</t>
  </si>
  <si>
    <t>Thu, 29 May 2025 00:00:00 GMT</t>
  </si>
  <si>
    <t>Wed, 28 May 2025 00:00:00 GMT</t>
  </si>
  <si>
    <t>Tue, 27 May 2025 00:00:00 GMT</t>
  </si>
  <si>
    <t>Fri, 23 May 2025 00:00:00 GMT</t>
  </si>
  <si>
    <t>Thu, 22 May 2025 00:00:00 GMT</t>
  </si>
  <si>
    <t>Wed, 21 May 2025 00:00:00 GMT</t>
  </si>
  <si>
    <t>Tue, 20 May 2025 00:00:00 GMT</t>
  </si>
  <si>
    <t>Mon, 19 May 2025 00:00:00 GMT</t>
  </si>
  <si>
    <t>Fri, 16 May 2025 00:00:00 GMT</t>
  </si>
  <si>
    <t>Thu, 15 May 2025 00:00:00 GMT</t>
  </si>
  <si>
    <t>Wed, 14 May 2025 00:00:00 GMT</t>
  </si>
  <si>
    <t>Tue, 13 May 2025 00:00:00 GMT</t>
  </si>
  <si>
    <t>Mon, 12 May 2025 00:00:00 GMT</t>
  </si>
  <si>
    <t>Fri, 09 May 2025 00:00:00 GMT</t>
  </si>
  <si>
    <t>Thu, 08 May 2025 00:00:00 GMT</t>
  </si>
  <si>
    <t>Wed, 07 May 2025 00:00:00 GMT</t>
  </si>
  <si>
    <t>Tue, 06 May 2025 00:00:00 GMT</t>
  </si>
  <si>
    <t>Mon, 05 May 2025 00:00:00 GMT</t>
  </si>
  <si>
    <t>Fri, 02 May 2025 00:00:00 GMT</t>
  </si>
  <si>
    <t>Thu, 01 May 2025 00:00:00 GMT</t>
  </si>
  <si>
    <t>Wed, 30 Apr 2025 00:00:00 GMT</t>
  </si>
  <si>
    <t>Tue, 29 Apr 2025 00:00:00 GMT</t>
  </si>
  <si>
    <t>Mon, 28 Apr 2025 00:00:00 GMT</t>
  </si>
  <si>
    <t>Fri, 25 Apr 2025 00:00:00 GMT</t>
  </si>
  <si>
    <t>Thu, 24 Apr 2025 00:00:00 GMT</t>
  </si>
  <si>
    <t>Wed, 23 Apr 2025 00:00:00 GMT</t>
  </si>
  <si>
    <t>Tue, 22 Apr 2025 00:00:00 GMT</t>
  </si>
  <si>
    <t>Mon, 21 Apr 2025 00:00:00 GMT</t>
  </si>
  <si>
    <t>Thu, 17 Apr 2025 00:00:00 GMT</t>
  </si>
  <si>
    <t>Wed, 16 Apr 2025 00:00:00 GMT</t>
  </si>
  <si>
    <t>Tue, 15 Apr 2025 00:00:00 GMT</t>
  </si>
  <si>
    <t>Mon, 14 Apr 2025 00:00:00 GMT</t>
  </si>
  <si>
    <t>Fri, 11 Apr 2025 00:00:00 GMT</t>
  </si>
  <si>
    <t>Thu, 10 Apr 2025 00:00:00 GMT</t>
  </si>
  <si>
    <t>Wed, 09 Apr 2025 00:00:00 GMT</t>
  </si>
  <si>
    <t>Tue, 08 Apr 2025 00:00:00 GMT</t>
  </si>
  <si>
    <t>Mon, 07 Apr 2025 00:00:00 GMT</t>
  </si>
  <si>
    <t>Fri, 04 Apr 2025 00:00:00 GMT</t>
  </si>
  <si>
    <t>Thu, 03 Apr 2025 00:00:00 GMT</t>
  </si>
  <si>
    <t>Wed, 02 Apr 2025 00:00:00 GMT</t>
  </si>
  <si>
    <t>Tue, 01 Apr 2025 00:00:00 GMT</t>
  </si>
  <si>
    <t>Mon, 31 Mar 2025 00:00:00 GMT</t>
  </si>
  <si>
    <t>Fri, 28 Mar 2025 00:00:00 GMT</t>
  </si>
  <si>
    <t>Thu, 27 Mar 2025 00:00:00 GMT</t>
  </si>
  <si>
    <t>Wed, 26 Mar 2025 00:00:00 GMT</t>
  </si>
  <si>
    <t>Tue, 25 Mar 2025 00:00:00 GMT</t>
  </si>
  <si>
    <t>Mon, 24 Mar 2025 00:00:00 GMT</t>
  </si>
  <si>
    <t>Fri, 21 Mar 2025 00:00:00 GMT</t>
  </si>
  <si>
    <t>Thu, 20 Mar 2025 00:00:00 GMT</t>
  </si>
  <si>
    <t>Wed, 19 Mar 2025 00:00:00 GMT</t>
  </si>
  <si>
    <t>Tue, 18 Mar 2025 00:00:00 GMT</t>
  </si>
  <si>
    <t>Mon, 17 Mar 2025 00:00:00 GMT</t>
  </si>
  <si>
    <t>Fri, 14 Mar 2025 00:00:00 GMT</t>
  </si>
  <si>
    <t>Thu, 13 Mar 2025 00:00:00 GMT</t>
  </si>
  <si>
    <t>Wed, 12 Mar 2025 00:00:00 GMT</t>
  </si>
  <si>
    <t>Tue, 11 Mar 2025 00:00:00 GMT</t>
  </si>
  <si>
    <t>Mon, 10 Mar 2025 00:00:00 GMT</t>
  </si>
  <si>
    <t>Fri, 07 Mar 2025 00:00:00 GMT</t>
  </si>
  <si>
    <t>Thu, 06 Mar 2025 00:00:00 GMT</t>
  </si>
  <si>
    <t>Wed, 05 Mar 2025 00:00:00 GMT</t>
  </si>
  <si>
    <t>Tue, 04 Mar 2025 00:00:00 GMT</t>
  </si>
  <si>
    <t>Mon, 03 Mar 2025 00:00:00 GMT</t>
  </si>
  <si>
    <t>Fri, 28 Feb 2025 00:00:00 GMT</t>
  </si>
  <si>
    <t>Thu, 27 Feb 2025 00:00:00 GMT</t>
  </si>
  <si>
    <t>Wed, 26 Feb 2025 00:00:00 GMT</t>
  </si>
  <si>
    <t>Tue, 25 Feb 2025 00:00:00 GMT</t>
  </si>
  <si>
    <t>Mon, 24 Feb 2025 00:00:00 GMT</t>
  </si>
  <si>
    <t>Fri, 21 Feb 2025 00:00:00 GMT</t>
  </si>
  <si>
    <t>Thu, 20 Feb 2025 00:00:00 GMT</t>
  </si>
  <si>
    <t>Wed, 19 Feb 2025 00:00:00 GMT</t>
  </si>
  <si>
    <t>Tue, 18 Feb 2025 00:00:00 GMT</t>
  </si>
  <si>
    <t>Fri, 14 Feb 2025 00:00:00 GMT</t>
  </si>
  <si>
    <t>Thu, 13 Feb 2025 00:00:00 GMT</t>
  </si>
  <si>
    <t>Wed, 12 Feb 2025 00:00:00 GMT</t>
  </si>
  <si>
    <t>Tue, 11 Feb 2025 00:00:00 GMT</t>
  </si>
  <si>
    <t>Mon, 10 Feb 2025 00:00:00 GMT</t>
  </si>
  <si>
    <t>Fri, 07 Feb 2025 00:00:00 GMT</t>
  </si>
  <si>
    <t>Thu, 06 Feb 2025 00:00:00 GMT</t>
  </si>
  <si>
    <t>Wed, 05 Feb 2025 00:00:00 GMT</t>
  </si>
  <si>
    <t>Tue, 04 Feb 2025 00:00:00 GMT</t>
  </si>
  <si>
    <t>Mon, 03 Feb 2025 00:00:00 GMT</t>
  </si>
  <si>
    <t>Fri, 31 Jan 2025 00:00:00 GMT</t>
  </si>
  <si>
    <t>Thu, 30 Jan 2025 00:00:00 GMT</t>
  </si>
  <si>
    <t>Wed, 29 Jan 2025 00:00:00 GMT</t>
  </si>
  <si>
    <t>Tue, 28 Jan 2025 00:00:00 GMT</t>
  </si>
  <si>
    <t>Mon, 27 Jan 2025 00:00:00 GMT</t>
  </si>
  <si>
    <t>Fri, 24 Jan 2025 00:00:00 GMT</t>
  </si>
  <si>
    <t>Thu, 23 Jan 2025 00:00:00 GMT</t>
  </si>
  <si>
    <t>Wed, 22 Jan 2025 00:00:00 GMT</t>
  </si>
  <si>
    <t>Tue, 21 Jan 2025 00:00:00 GMT</t>
  </si>
  <si>
    <t>Fri, 17 Jan 2025 00:00:00 GMT</t>
  </si>
  <si>
    <t>Thu, 16 Jan 2025 00:00:00 GMT</t>
  </si>
  <si>
    <t>Wed, 15 Jan 2025 00:00:00 GMT</t>
  </si>
  <si>
    <t>Tue, 14 Jan 2025 00:00:00 GMT</t>
  </si>
  <si>
    <t>Mon, 13 Jan 2025 00:00:00 GMT</t>
  </si>
  <si>
    <t>Fri, 10 Jan 2025 00:00:00 GMT</t>
  </si>
  <si>
    <t>Wed, 08 Jan 2025 00:00:00 GMT</t>
  </si>
  <si>
    <t>Tue, 07 Jan 2025 00:00:00 GMT</t>
  </si>
  <si>
    <t>Mon, 06 Jan 2025 00:00:00 GMT</t>
  </si>
  <si>
    <t>Fri, 03 Jan 2025 00:00:00 GMT</t>
  </si>
  <si>
    <t>Thu, 02 Jan 2025 00:00:00 GMT</t>
  </si>
  <si>
    <t>Tue, 31 Dec 2024 00:00:00 GMT</t>
  </si>
  <si>
    <t>Mon, 30 Dec 2024 00:00:00 GMT</t>
  </si>
  <si>
    <t>Fri, 27 Dec 2024 00:00:00 GMT</t>
  </si>
  <si>
    <t>Thu, 26 Dec 2024 00:00:00 GMT</t>
  </si>
  <si>
    <t>Tue, 24 Dec 2024 00:00:00 GMT</t>
  </si>
  <si>
    <t>Mon, 23 Dec 2024 00:00:00 GMT</t>
  </si>
  <si>
    <t>Fri, 20 Dec 2024 00:00:00 GMT</t>
  </si>
  <si>
    <t>Thu, 19 Dec 2024 00:00:00 GMT</t>
  </si>
  <si>
    <t>Wed, 18 Dec 2024 00:00:00 GMT</t>
  </si>
  <si>
    <t>Tue, 17 Dec 2024 00:00:00 GMT</t>
  </si>
  <si>
    <t>Mon, 16 Dec 2024 00:00:00 GMT</t>
  </si>
  <si>
    <t>Fri, 13 Dec 2024 00:00:00 GMT</t>
  </si>
  <si>
    <t>Thu, 12 Dec 2024 00:00:00 GMT</t>
  </si>
  <si>
    <t>Wed, 11 Dec 2024 00:00:00 GMT</t>
  </si>
  <si>
    <t>Tue, 10 Dec 2024 00:00:00 GMT</t>
  </si>
  <si>
    <t>Mon, 09 Dec 2024 00:00:00 GMT</t>
  </si>
  <si>
    <t>Fri, 06 Dec 2024 00:00:00 GMT</t>
  </si>
  <si>
    <t>Thu, 05 Dec 2024 00:00:00 GMT</t>
  </si>
  <si>
    <t>Wed, 04 Dec 2024 00:00:00 GMT</t>
  </si>
  <si>
    <t>Tue, 03 Dec 2024 00:00:00 GMT</t>
  </si>
  <si>
    <t>Mon, 02 Dec 2024 00:00:00 GMT</t>
  </si>
  <si>
    <t>Fri, 29 Nov 2024 00:00:00 GMT</t>
  </si>
  <si>
    <t>Wed, 27 Nov 2024 00:00:00 GMT</t>
  </si>
  <si>
    <t>Tue, 26 Nov 2024 00:00:00 GMT</t>
  </si>
  <si>
    <t>Mon, 25 Nov 2024 00:00:00 GMT</t>
  </si>
  <si>
    <t>Fri, 22 Nov 2024 00:00:00 GMT</t>
  </si>
  <si>
    <t>Thu, 21 Nov 2024 00:00:00 GMT</t>
  </si>
  <si>
    <t>Wed, 20 Nov 2024 00:00:00 GMT</t>
  </si>
  <si>
    <t>Tue, 19 Nov 2024 00:00:00 GMT</t>
  </si>
  <si>
    <t>Mon, 18 Nov 2024 00:00:00 GMT</t>
  </si>
  <si>
    <t>Fri, 15 Nov 2024 00:00:00 GMT</t>
  </si>
  <si>
    <t>Thu, 14 Nov 2024 00:00:00 GMT</t>
  </si>
  <si>
    <t>Wed, 13 Nov 2024 00:00:00 GMT</t>
  </si>
  <si>
    <t>Tue, 12 Nov 2024 00:00:00 GMT</t>
  </si>
  <si>
    <t>Mon, 11 Nov 2024 00:00:00 GMT</t>
  </si>
  <si>
    <t>Fri, 08 Nov 2024 00:00:00 GMT</t>
  </si>
  <si>
    <t>Thu, 07 Nov 2024 00:00:00 GMT</t>
  </si>
  <si>
    <t>Wed, 06 Nov 2024 00:00:00 GMT</t>
  </si>
  <si>
    <t>Tue, 05 Nov 2024 00:00:00 GMT</t>
  </si>
  <si>
    <t>Mon, 04 Nov 2024 00:00:00 GMT</t>
  </si>
  <si>
    <t>Fri, 01 Nov 2024 00:00:00 GMT</t>
  </si>
  <si>
    <t>Thu, 31 Oct 2024 00:00:00 GMT</t>
  </si>
  <si>
    <t>Wed, 30 Oct 2024 00:00:00 GMT</t>
  </si>
  <si>
    <t>Tue, 29 Oct 2024 00:00:00 GMT</t>
  </si>
  <si>
    <t>Mon, 28 Oct 2024 00:00:00 GMT</t>
  </si>
  <si>
    <t>Fri, 25 Oct 2024 00:00:00 GMT</t>
  </si>
  <si>
    <t>Thu, 24 Oct 2024 00:00:00 GMT</t>
  </si>
  <si>
    <t>Wed, 23 Oct 2024 00:00:00 GMT</t>
  </si>
  <si>
    <t>Tue, 22 Oct 2024 00:00:00 GMT</t>
  </si>
  <si>
    <t>Mon, 21 Oct 2024 00:00:00 GMT</t>
  </si>
  <si>
    <t>Fri, 18 Oct 2024 00:00:00 GMT</t>
  </si>
  <si>
    <t>Thu, 17 Oct 2024 00:00:00 GMT</t>
  </si>
  <si>
    <t>Wed, 16 Oct 2024 00:00:00 GMT</t>
  </si>
  <si>
    <t>Tue, 15 Oct 2024 00:00:00 GMT</t>
  </si>
  <si>
    <t>Mon, 14 Oct 2024 00:00:00 GMT</t>
  </si>
  <si>
    <t>Fri, 11 Oct 2024 00:00:00 GMT</t>
  </si>
  <si>
    <t>Thu, 10 Oct 2024 00:00:00 GMT</t>
  </si>
  <si>
    <t>Wed, 09 Oct 2024 00:00:00 GMT</t>
  </si>
  <si>
    <t>Tue, 08 Oct 2024 00:00:00 GMT</t>
  </si>
  <si>
    <t>Mon, 07 Oct 2024 00:00:00 GMT</t>
  </si>
  <si>
    <t>Fri, 04 Oct 2024 00:00:00 GMT</t>
  </si>
  <si>
    <t>Thu, 03 Oct 2024 00:00:00 GMT</t>
  </si>
  <si>
    <t>Wed, 02 Oct 2024 00:00:00 GMT</t>
  </si>
  <si>
    <t>Tue, 01 Oct 2024 00:00:00 GMT</t>
  </si>
  <si>
    <t>Mon, 30 Sep 2024 00:00:00 GMT</t>
  </si>
  <si>
    <t>Fri, 27 Sep 2024 00:00:00 GMT</t>
  </si>
  <si>
    <t>Thu, 26 Sep 2024 00:00:00 GMT</t>
  </si>
  <si>
    <t>Wed, 25 Sep 2024 00:00:00 GMT</t>
  </si>
  <si>
    <t>Tue, 24 Sep 2024 00:00:00 GMT</t>
  </si>
  <si>
    <t>Mon, 23 Sep 2024 00:00:00 GMT</t>
  </si>
  <si>
    <t>Fri, 20 Sep 2024 00:00:00 GMT</t>
  </si>
  <si>
    <t>Thu, 19 Sep 2024 00:00:00 GMT</t>
  </si>
  <si>
    <t>Wed, 18 Sep 2024 00:00:00 GMT</t>
  </si>
  <si>
    <t>Tue, 17 Sep 2024 00:00:00 GMT</t>
  </si>
  <si>
    <t>Mon, 16 Sep 2024 00:00:00 GMT</t>
  </si>
  <si>
    <t>Fri, 13 Sep 2024 00:00:00 GMT</t>
  </si>
  <si>
    <t>Thu, 12 Sep 2024 00:00:00 GMT</t>
  </si>
  <si>
    <t>Wed, 11 Sep 2024 00:00:00 GMT</t>
  </si>
  <si>
    <t>Tue, 10 Sep 2024 00:00:00 GMT</t>
  </si>
  <si>
    <t>Mon, 09 Sep 2024 00:00:00 GMT</t>
  </si>
  <si>
    <t>Fri, 06 Sep 2024 00:00:00 GMT</t>
  </si>
  <si>
    <t>Thu, 05 Sep 2024 00:00:00 GMT</t>
  </si>
  <si>
    <t>Wed, 04 Sep 2024 00:00:00 GMT</t>
  </si>
  <si>
    <t>Tue, 03 Sep 2024 00:00:00 GMT</t>
  </si>
  <si>
    <t>Fri, 30 Aug 2024 00:00:00 GMT</t>
  </si>
  <si>
    <t>Thu, 29 Aug 2024 00:00:00 GMT</t>
  </si>
  <si>
    <t>Wed, 28 Aug 2024 00:00:00 GMT</t>
  </si>
  <si>
    <t>Tue, 27 Aug 2024 00:00:00 GMT</t>
  </si>
  <si>
    <t>Mon, 26 Aug 2024 00:00:00 GMT</t>
  </si>
  <si>
    <t>Fri, 23 Aug 2024 00:00:00 GMT</t>
  </si>
  <si>
    <t>Thu, 22 Aug 2024 00:00:00 GMT</t>
  </si>
  <si>
    <t>Wed, 21 Aug 2024 00:00:00 GMT</t>
  </si>
  <si>
    <t>Tue, 20 Aug 2024 00:00:00 GMT</t>
  </si>
  <si>
    <t>Mon, 19 Aug 2024 00:00:00 GMT</t>
  </si>
  <si>
    <t>Fri, 16 Aug 2024 00:00:00 GMT</t>
  </si>
  <si>
    <t>Thu, 15 Aug 2024 00:00:00 GMT</t>
  </si>
  <si>
    <t>Wed, 14 Aug 2024 00:00:00 GMT</t>
  </si>
  <si>
    <t>Tue, 13 Aug 2024 00:00:00 GMT</t>
  </si>
  <si>
    <t>Mon, 12 Aug 2024 00:00:00 GMT</t>
  </si>
  <si>
    <t>Fri, 09 Aug 2024 00:00:00 GMT</t>
  </si>
  <si>
    <t>Thu, 08 Aug 2024 00:00:00 GMT</t>
  </si>
  <si>
    <t>Wed, 07 Aug 2024 00:00:00 GMT</t>
  </si>
  <si>
    <t>Tue, 06 Aug 2024 00:00:00 GMT</t>
  </si>
  <si>
    <t>Mon, 05 Aug 2024 00:00:00 GMT</t>
  </si>
  <si>
    <t>Fri, 02 Aug 2024 00:00:00 GMT</t>
  </si>
  <si>
    <t>Thu, 01 Aug 2024 00:00:00 GMT</t>
  </si>
  <si>
    <t>Wed, 31 Jul 2024 00:00:00 GMT</t>
  </si>
  <si>
    <t>Tue, 30 Jul 2024 00:00:00 GMT</t>
  </si>
  <si>
    <t>Mon, 29 Jul 2024 00:00:00 GMT</t>
  </si>
  <si>
    <t>Fri, 26 Jul 2024 00:00:00 GMT</t>
  </si>
  <si>
    <t>Thu, 25 Jul 2024 00:00:00 GMT</t>
  </si>
  <si>
    <t>Wed, 24 Jul 2024 00:00:00 GMT</t>
  </si>
  <si>
    <t>Tue, 23 Jul 2024 00:00:00 GMT</t>
  </si>
  <si>
    <t>Mon, 22 Jul 2024 00:00:00 GMT</t>
  </si>
  <si>
    <t>Fri, 19 Jul 2024 00:00:00 GMT</t>
  </si>
  <si>
    <t>Thu, 18 Jul 2024 00:00:00 GMT</t>
  </si>
  <si>
    <t>Wed, 17 Jul 2024 00:00:00 GMT</t>
  </si>
  <si>
    <t>Tue, 16 Jul 2024 00:00:00 GMT</t>
  </si>
  <si>
    <t>Mon, 15 Jul 2024 00:00:00 GMT</t>
  </si>
  <si>
    <t>Fri, 12 Jul 2024 00:00:00 GMT</t>
  </si>
  <si>
    <t>Thu, 11 Jul 2024 00:00:00 GMT</t>
  </si>
  <si>
    <t>Wed, 10 Jul 2024 00:00:00 GMT</t>
  </si>
  <si>
    <t>Tue, 09 Jul 2024 00:00:00 GMT</t>
  </si>
  <si>
    <t>Mon, 08 Jul 2024 00:00:00 GMT</t>
  </si>
  <si>
    <t>Fri, 05 Jul 2024 00:00:00 GMT</t>
  </si>
  <si>
    <t>Wed, 03 Jul 2024 00:00:00 GMT</t>
  </si>
  <si>
    <t>Tue, 02 Jul 2024 00:00:00 GMT</t>
  </si>
  <si>
    <t>Mon, 01 Jul 2024 00:00:00 GMT</t>
  </si>
  <si>
    <t>Fri, 28 Jun 2024 00:00:00 GMT</t>
  </si>
  <si>
    <t>Thu, 27 Jun 2024 00:00:00 GMT</t>
  </si>
  <si>
    <t>Wed, 26 Jun 2024 00:00:00 GMT</t>
  </si>
  <si>
    <t>Tue, 25 Jun 2024 00:00:00 GMT</t>
  </si>
  <si>
    <t>Mon, 24 Jun 2024 00:00:00 GMT</t>
  </si>
  <si>
    <t>Fri, 21 Jun 2024 00:00:00 GMT</t>
  </si>
  <si>
    <t>Thu, 20 Jun 2024 00:00:00 GMT</t>
  </si>
  <si>
    <t>Tue, 18 Jun 2024 00:00:00 GMT</t>
  </si>
  <si>
    <t>Mon, 17 Jun 2024 00:00:00 GMT</t>
  </si>
  <si>
    <t>Fri, 14 Jun 2024 00:00:00 GMT</t>
  </si>
  <si>
    <t>Thu, 13 Jun 2024 00:00:00 GMT</t>
  </si>
  <si>
    <t>Wed, 12 Jun 2024 00:00:00 GMT</t>
  </si>
  <si>
    <t>Tue, 11 Jun 2024 00:00:00 GMT</t>
  </si>
  <si>
    <t>Mon, 10 Jun 2024 00:00:00 GMT</t>
  </si>
  <si>
    <t>Fri, 07 Jun 2024 00:00:00 GMT</t>
  </si>
  <si>
    <t>Thu, 06 Jun 2024 00:00:00 GMT</t>
  </si>
  <si>
    <t>Wed, 05 Jun 2024 00:00:00 GMT</t>
  </si>
  <si>
    <t>Tue, 04 Jun 2024 00:00:00 GMT</t>
  </si>
  <si>
    <t>Mon, 03 Jun 2024 00:00:00 GMT</t>
  </si>
  <si>
    <t>Fri, 31 May 2024 00:00:00 GMT</t>
  </si>
  <si>
    <t>Thu, 30 May 2024 00:00:00 GMT</t>
  </si>
  <si>
    <t>Wed, 29 May 2024 00:00:00 GMT</t>
  </si>
  <si>
    <t>Tue, 28 May 2024 00:00:00 GMT</t>
  </si>
  <si>
    <t>Fri, 24 May 2024 00:00:00 GMT</t>
  </si>
  <si>
    <t>Thu, 23 May 2024 00:00:00 GMT</t>
  </si>
  <si>
    <t>Wed, 22 May 2024 00:00:00 GMT</t>
  </si>
  <si>
    <t>Tue, 21 May 2024 00:00:00 GMT</t>
  </si>
  <si>
    <t>Mon, 20 May 2024 00:00:00 GMT</t>
  </si>
  <si>
    <t>Fri, 17 May 2024 00:00:00 GMT</t>
  </si>
  <si>
    <t>Thu, 16 May 2024 00:00:00 GMT</t>
  </si>
  <si>
    <t>Wed, 15 May 2024 00:00:00 GMT</t>
  </si>
  <si>
    <t>Tue, 14 May 2024 00:00:00 GMT</t>
  </si>
  <si>
    <t>Mon, 13 May 2024 00:00:00 GMT</t>
  </si>
  <si>
    <t>Fri, 10 May 2024 00:00:00 GMT</t>
  </si>
  <si>
    <t>Thu, 09 May 2024 00:00:00 GMT</t>
  </si>
  <si>
    <t>Wed, 08 May 2024 00:00:00 GMT</t>
  </si>
  <si>
    <t>Tue, 07 May 2024 00:00:00 GMT</t>
  </si>
  <si>
    <t>Mon, 06 May 2024 00:00:00 GMT</t>
  </si>
  <si>
    <t>Fri, 03 May 2024 00:00:00 GMT</t>
  </si>
  <si>
    <t>Thu, 02 May 2024 00:00:00 GMT</t>
  </si>
  <si>
    <t>Wed, 01 May 2024 00:00:00 GMT</t>
  </si>
  <si>
    <t>Tue, 30 Apr 2024 00:00:00 GMT</t>
  </si>
  <si>
    <t>Mon, 29 Apr 2024 00:00:00 GMT</t>
  </si>
  <si>
    <t>Fri, 26 Apr 2024 00:00:00 GMT</t>
  </si>
  <si>
    <t>Thu, 25 Apr 2024 00:00:00 GMT</t>
  </si>
  <si>
    <t>Wed, 24 Apr 2024 00:00:00 GMT</t>
  </si>
  <si>
    <t>Tue, 23 Apr 2024 00:00:00 GMT</t>
  </si>
  <si>
    <t>Mon, 22 Apr 2024 00:00:00 GMT</t>
  </si>
  <si>
    <t>Fri, 19 Apr 2024 00:00:00 GMT</t>
  </si>
  <si>
    <t>Thu, 18 Apr 2024 00:00:00 GMT</t>
  </si>
  <si>
    <t>Wed, 17 Apr 2024 00:00:00 GMT</t>
  </si>
  <si>
    <t>Tue, 16 Apr 2024 00:00:00 GMT</t>
  </si>
  <si>
    <t>Mon, 15 Apr 2024 00:00:00 GMT</t>
  </si>
  <si>
    <t>Fri, 12 Apr 2024 00:00:00 GMT</t>
  </si>
  <si>
    <t>Thu, 11 Apr 2024 00:00:00 GMT</t>
  </si>
  <si>
    <t>Wed, 10 Apr 2024 00:00:00 GMT</t>
  </si>
  <si>
    <t>Tue, 09 Apr 2024 00:00:00 GMT</t>
  </si>
  <si>
    <t>Mon, 08 Apr 2024 00:00:00 GMT</t>
  </si>
  <si>
    <t>Fri, 05 Apr 2024 00:00:00 GMT</t>
  </si>
  <si>
    <t>Thu, 04 Apr 2024 00:00:00 GMT</t>
  </si>
  <si>
    <t>Wed, 03 Apr 2024 00:00:00 GMT</t>
  </si>
  <si>
    <t>Tue, 02 Apr 2024 00:00:00 GMT</t>
  </si>
  <si>
    <t>Mon, 01 Apr 2024 00:00:00 GMT</t>
  </si>
  <si>
    <t>Thu, 28 Mar 2024 00:00:00 GMT</t>
  </si>
  <si>
    <t>Wed, 27 Mar 2024 00:00:00 GMT</t>
  </si>
  <si>
    <t>Tue, 26 Mar 2024 00:00:00 GMT</t>
  </si>
  <si>
    <t>Mon, 25 Mar 2024 00:00:00 GMT</t>
  </si>
  <si>
    <t>Fri, 22 Mar 2024 00:00:00 GMT</t>
  </si>
  <si>
    <t>Thu, 21 Mar 2024 00:00:00 GMT</t>
  </si>
  <si>
    <t>Wed, 20 Mar 2024 00:00:00 GMT</t>
  </si>
  <si>
    <t>Tue, 19 Mar 2024 00:00:00 GMT</t>
  </si>
  <si>
    <t>Mon, 18 Mar 2024 00:00:00 GMT</t>
  </si>
  <si>
    <t>Fri, 15 Mar 2024 00:00:00 GMT</t>
  </si>
  <si>
    <t>Thu, 14 Mar 2024 00:00:00 GMT</t>
  </si>
  <si>
    <t>Wed, 13 Mar 2024 00:00:00 GMT</t>
  </si>
  <si>
    <t>Tue, 12 Mar 2024 00:00:00 GMT</t>
  </si>
  <si>
    <t>Mon, 11 Mar 2024 00:00:00 GMT</t>
  </si>
  <si>
    <t>Fri, 08 Mar 2024 00:00:00 GMT</t>
  </si>
  <si>
    <t>Thu, 07 Mar 2024 00:00:00 GMT</t>
  </si>
  <si>
    <t>Wed, 06 Mar 2024 00:00:00 GMT</t>
  </si>
  <si>
    <t>Tue, 05 Mar 2024 00:00:00 GMT</t>
  </si>
  <si>
    <t>Mon, 04 Mar 2024 00:00:00 GMT</t>
  </si>
  <si>
    <t>Fri, 01 Mar 2024 00:00:00 GMT</t>
  </si>
  <si>
    <t>Thu, 29 Feb 2024 00:00:00 GMT</t>
  </si>
  <si>
    <t>Wed, 28 Feb 2024 00:00:00 GMT</t>
  </si>
  <si>
    <t>Tue, 27 Feb 2024 00:00:00 GMT</t>
  </si>
  <si>
    <t>Mon, 26 Feb 2024 00:00:00 GMT</t>
  </si>
  <si>
    <t>Fri, 23 Feb 2024 00:00:00 GMT</t>
  </si>
  <si>
    <t>Thu, 22 Feb 2024 00:00:00 GMT</t>
  </si>
  <si>
    <t>Wed, 21 Feb 2024 00:00:00 GMT</t>
  </si>
  <si>
    <t>Tue, 20 Feb 2024 00:00:00 GMT</t>
  </si>
  <si>
    <t>Fri, 16 Feb 2024 00:00:00 GMT</t>
  </si>
  <si>
    <t>Thu, 15 Feb 2024 00:00:00 GMT</t>
  </si>
  <si>
    <t>Wed, 14 Feb 2024 00:00:00 GMT</t>
  </si>
  <si>
    <t>Tue, 13 Feb 2024 00:00:00 GMT</t>
  </si>
  <si>
    <t>Mon, 12 Feb 2024 00:00:00 GMT</t>
  </si>
  <si>
    <t>Fri, 09 Feb 2024 00:00:00 GMT</t>
  </si>
  <si>
    <t>Thu, 08 Feb 2024 00:00:00 GMT</t>
  </si>
  <si>
    <t>Wed, 07 Feb 2024 00:00:00 GMT</t>
  </si>
  <si>
    <t>Tue, 06 Feb 2024 00:00:00 GMT</t>
  </si>
  <si>
    <t>Mon, 05 Feb 2024 00:00:00 GMT</t>
  </si>
  <si>
    <t>Fri, 02 Feb 2024 00:00:00 GMT</t>
  </si>
  <si>
    <t>Thu, 01 Feb 2024 00:00:00 GMT</t>
  </si>
  <si>
    <t>Wed, 31 Jan 2024 00:00:00 GMT</t>
  </si>
  <si>
    <t>Tue, 30 Jan 2024 00:00:00 GMT</t>
  </si>
  <si>
    <t>Mon, 29 Jan 2024 00:00:00 GMT</t>
  </si>
  <si>
    <t>Fri, 26 Jan 2024 00:00:00 GMT</t>
  </si>
  <si>
    <t>Thu, 25 Jan 2024 00:00:00 GMT</t>
  </si>
  <si>
    <t>Wed, 24 Jan 2024 00:00:00 GMT</t>
  </si>
  <si>
    <t>Tue, 23 Jan 2024 00:00:00 GMT</t>
  </si>
  <si>
    <t>Mon, 22 Jan 2024 00:00:00 GMT</t>
  </si>
  <si>
    <t>Fri, 19 Jan 2024 00:00:00 GMT</t>
  </si>
  <si>
    <t>Thu, 18 Jan 2024 00:00:00 GMT</t>
  </si>
  <si>
    <t>Wed, 17 Jan 2024 00:00:00 GMT</t>
  </si>
  <si>
    <t>Tue, 16 Jan 2024 00:00:00 GMT</t>
  </si>
  <si>
    <t>Fri, 12 Jan 2024 00:00:00 GMT</t>
  </si>
  <si>
    <t>Thu, 11 Jan 2024 00:00:00 GMT</t>
  </si>
  <si>
    <t>Wed, 10 Jan 2024 00:00:00 GMT</t>
  </si>
  <si>
    <t>Tue, 09 Jan 2024 00:00:00 GMT</t>
  </si>
  <si>
    <t>Mon, 08 Jan 2024 00:00:00 GMT</t>
  </si>
  <si>
    <t>Fri, 05 Jan 2024 00:00:00 GMT</t>
  </si>
  <si>
    <t>Thu, 04 Jan 2024 00:00:00 GMT</t>
  </si>
  <si>
    <t>Wed, 03 Jan 2024 00:00:00 GMT</t>
  </si>
  <si>
    <t>Tue, 02 Jan 2024 00:00:00 GMT</t>
  </si>
  <si>
    <t>Fri, 29 Dec 2023 00:00:00 GMT</t>
  </si>
  <si>
    <t>Thu, 28 Dec 2023 00:00:00 GMT</t>
  </si>
  <si>
    <t>Wed, 27 Dec 2023 00:00:00 GMT</t>
  </si>
  <si>
    <t>Tue, 26 Dec 2023 00:00:00 GMT</t>
  </si>
  <si>
    <t>Fri, 22 Dec 2023 00:00:00 GMT</t>
  </si>
  <si>
    <t>Thu, 21 Dec 2023 00:00:00 GMT</t>
  </si>
  <si>
    <t>Wed, 20 Dec 2023 00:00:00 GMT</t>
  </si>
  <si>
    <t>Tue, 19 Dec 2023 00:00:00 GMT</t>
  </si>
  <si>
    <t>Mon, 18 Dec 2023 00:00:00 GMT</t>
  </si>
  <si>
    <t>Fri, 15 Dec 2023 00:00:00 GMT</t>
  </si>
  <si>
    <t>Thu, 14 Dec 2023 00:00:00 GMT</t>
  </si>
  <si>
    <t>Wed, 13 Dec 2023 00:00:00 GMT</t>
  </si>
  <si>
    <t>Tue, 12 Dec 2023 00:00:00 GMT</t>
  </si>
  <si>
    <t>Mon, 11 Dec 2023 00:00:00 GMT</t>
  </si>
  <si>
    <t>Fri, 08 Dec 2023 00:00:00 GMT</t>
  </si>
  <si>
    <t>Thu, 07 Dec 2023 00:00:00 GMT</t>
  </si>
  <si>
    <t>Wed, 06 Dec 2023 00:00:00 GMT</t>
  </si>
  <si>
    <t>Tue, 05 Dec 2023 00:00:00 GMT</t>
  </si>
  <si>
    <t>Mon, 04 Dec 2023 00:00:00 GMT</t>
  </si>
  <si>
    <t>Fri, 01 Dec 2023 00:00:00 GMT</t>
  </si>
  <si>
    <t>Thu, 30 Nov 2023 00:00:00 GMT</t>
  </si>
  <si>
    <t>Wed, 29 Nov 2023 00:00:00 GMT</t>
  </si>
  <si>
    <t>Tue, 28 Nov 2023 00:00:00 GMT</t>
  </si>
  <si>
    <t>Mon, 27 Nov 2023 00:00:00 GMT</t>
  </si>
  <si>
    <t>Fri, 24 Nov 2023 00:00:00 GMT</t>
  </si>
  <si>
    <t>Wed, 22 Nov 2023 00:00:00 GMT</t>
  </si>
  <si>
    <t>Tue, 21 Nov 2023 00:00:00 GMT</t>
  </si>
  <si>
    <t>Mon, 20 Nov 2023 00:00:00 GMT</t>
  </si>
  <si>
    <t>Fri, 17 Nov 2023 00:00:00 GMT</t>
  </si>
  <si>
    <t>Thu, 16 Nov 2023 00:00:00 GMT</t>
  </si>
  <si>
    <t>Wed, 15 Nov 2023 00:00:00 GMT</t>
  </si>
  <si>
    <t>Tue, 14 Nov 2023 00:00:00 GMT</t>
  </si>
  <si>
    <t>Mon, 13 Nov 2023 00:00:00 GMT</t>
  </si>
  <si>
    <t>Fri, 10 Nov 2023 00:00:00 GMT</t>
  </si>
  <si>
    <t>Thu, 09 Nov 2023 00:00:00 GMT</t>
  </si>
  <si>
    <t>Wed, 08 Nov 2023 00:00:00 GMT</t>
  </si>
  <si>
    <t>Tue, 07 Nov 2023 00:00:00 GMT</t>
  </si>
  <si>
    <t>Mon, 06 Nov 2023 00:00:00 GMT</t>
  </si>
  <si>
    <t>Fri, 03 Nov 2023 00:00:00 GMT</t>
  </si>
  <si>
    <t>Thu, 02 Nov 2023 00:00:00 GMT</t>
  </si>
  <si>
    <t>Wed, 01 Nov 2023 00:00:00 GMT</t>
  </si>
  <si>
    <t>Tue, 31 Oct 2023 00:00:00 GMT</t>
  </si>
  <si>
    <t>Mon, 30 Oct 2023 00:00:00 GMT</t>
  </si>
  <si>
    <t>Fri, 27 Oct 2023 00:00:00 GMT</t>
  </si>
  <si>
    <t>Thu, 26 Oct 2023 00:00:00 GMT</t>
  </si>
  <si>
    <t>Wed, 25 Oct 2023 00:00:00 GMT</t>
  </si>
  <si>
    <t>Tue, 24 Oct 2023 00:00:00 GMT</t>
  </si>
  <si>
    <t>Mon, 23 Oct 2023 00:00:00 GMT</t>
  </si>
  <si>
    <t>Fri, 20 Oct 2023 00:00:00 GMT</t>
  </si>
  <si>
    <t>Thu, 19 Oct 2023 00:00:00 GMT</t>
  </si>
  <si>
    <t>Wed, 18 Oct 2023 00:00:00 GMT</t>
  </si>
  <si>
    <t>Tue, 17 Oct 2023 00:00:00 GMT</t>
  </si>
  <si>
    <t>Mon, 16 Oct 2023 00:00:00 GMT</t>
  </si>
  <si>
    <t>Fri, 13 Oct 2023 00:00:00 GMT</t>
  </si>
  <si>
    <t>Thu, 12 Oct 2023 00:00:00 GMT</t>
  </si>
  <si>
    <t>Wed, 11 Oct 2023 00:00:00 GMT</t>
  </si>
  <si>
    <t>Tue, 10 Oct 2023 00:00:00 GMT</t>
  </si>
  <si>
    <t>Mon, 09 Oct 2023 00:00:00 GMT</t>
  </si>
  <si>
    <t>Fri, 06 Oct 2023 00:00:00 GMT</t>
  </si>
  <si>
    <t>Thu, 05 Oct 2023 00:00:00 GMT</t>
  </si>
  <si>
    <t>Wed, 04 Oct 2023 00:00:00 GMT</t>
  </si>
  <si>
    <t>Tue, 03 Oct 2023 00:00:00 GMT</t>
  </si>
  <si>
    <t>Mon, 02 Oct 2023 00:00:00 GMT</t>
  </si>
  <si>
    <t>Fri, 29 Sep 2023 00:00:00 GMT</t>
  </si>
  <si>
    <t>Thu, 28 Sep 2023 00:00:00 GMT</t>
  </si>
  <si>
    <t>Wed, 27 Sep 2023 00:00:00 GMT</t>
  </si>
  <si>
    <t>Tue, 26 Sep 2023 00:00:00 GMT</t>
  </si>
  <si>
    <t>Mon, 25 Sep 2023 00:00:00 GMT</t>
  </si>
  <si>
    <t>Fri, 22 Sep 2023 00:00:00 GMT</t>
  </si>
  <si>
    <t>Thu, 21 Sep 2023 00:00:00 GMT</t>
  </si>
  <si>
    <t>Wed, 20 Sep 2023 00:00:00 GMT</t>
  </si>
  <si>
    <t>Tue, 19 Sep 2023 00:00:00 GMT</t>
  </si>
  <si>
    <t>Mon, 18 Sep 2023 00:00:00 GMT</t>
  </si>
  <si>
    <t>Fri, 15 Sep 2023 00:00:00 GMT</t>
  </si>
  <si>
    <t>Thu, 14 Sep 2023 00:00:00 GMT</t>
  </si>
  <si>
    <t>Wed, 13 Sep 2023 00:00:00 GMT</t>
  </si>
  <si>
    <t>Tue, 12 Sep 2023 00:00:00 GMT</t>
  </si>
  <si>
    <t>Mon, 11 Sep 2023 00:00:00 GMT</t>
  </si>
  <si>
    <t>Fri, 08 Sep 2023 00:00:00 GMT</t>
  </si>
  <si>
    <t>Thu, 07 Sep 2023 00:00:00 GMT</t>
  </si>
  <si>
    <t>Wed, 06 Sep 2023 00:00:00 GMT</t>
  </si>
  <si>
    <t>Tue, 05 Sep 2023 00:00:00 GMT</t>
  </si>
  <si>
    <t>Fri, 01 Sep 2023 00:00:00 GMT</t>
  </si>
  <si>
    <t>Thu, 31 Aug 2023 00:00:00 GMT</t>
  </si>
  <si>
    <t>Wed, 30 Aug 2023 00:00:00 GMT</t>
  </si>
  <si>
    <t>Tue, 29 Aug 2023 00:00:00 GMT</t>
  </si>
  <si>
    <t>Mon, 28 Aug 2023 00:00:00 GMT</t>
  </si>
  <si>
    <t>Fri, 25 Aug 2023 00:00:00 GMT</t>
  </si>
  <si>
    <t>Thu, 24 Aug 2023 00:00:00 GMT</t>
  </si>
  <si>
    <t>Wed, 23 Aug 2023 00:00:00 GMT</t>
  </si>
  <si>
    <t>Tue, 22 Aug 2023 00:00:00 GMT</t>
  </si>
  <si>
    <t>Mon, 21 Aug 2023 00:00:00 GMT</t>
  </si>
  <si>
    <t>Fri, 18 Aug 2023 00:00:00 GMT</t>
  </si>
  <si>
    <t>Thu, 17 Aug 2023 00:00:00 GMT</t>
  </si>
  <si>
    <t>Wed, 16 Aug 2023 00:00:00 GMT</t>
  </si>
  <si>
    <t>Tue, 15 Aug 2023 00:00:00 GMT</t>
  </si>
  <si>
    <t>Mon, 14 Aug 2023 00:00:00 GMT</t>
  </si>
  <si>
    <t>Fri, 11 Aug 2023 00:00:00 GMT</t>
  </si>
  <si>
    <t>Thu, 10 Aug 2023 00:00:00 GMT</t>
  </si>
  <si>
    <t>Wed, 09 Aug 2023 00:00:00 GMT</t>
  </si>
  <si>
    <t>Tue, 08 Aug 2023 00:00:00 GMT</t>
  </si>
  <si>
    <t>Mon, 07 Aug 2023 00:00:00 GMT</t>
  </si>
  <si>
    <t>Fri, 04 Aug 2023 00:00:00 GMT</t>
  </si>
  <si>
    <t>Thu, 03 Aug 2023 00:00:00 GMT</t>
  </si>
  <si>
    <t>Wed, 02 Aug 2023 00:00:00 GMT</t>
  </si>
  <si>
    <t>Tue, 01 Aug 2023 00:00:00 GMT</t>
  </si>
  <si>
    <t>Mon, 31 Jul 2023 00:00:00 GMT</t>
  </si>
  <si>
    <t>Fri, 28 Jul 2023 00:00:00 GMT</t>
  </si>
  <si>
    <t>Thu, 27 Jul 2023 00:00:00 GMT</t>
  </si>
  <si>
    <t>Wed, 26 Jul 2023 00:00:00 GMT</t>
  </si>
  <si>
    <t>Tue, 25 Jul 2023 00:00:00 GMT</t>
  </si>
  <si>
    <t>Mon, 24 Jul 2023 00:00:00 GMT</t>
  </si>
  <si>
    <t>Fri, 21 Jul 2023 00:00:00 GMT</t>
  </si>
  <si>
    <t>Thu, 20 Jul 2023 00:00:00 GMT</t>
  </si>
  <si>
    <t>Wed, 19 Jul 2023 00:00:00 GMT</t>
  </si>
  <si>
    <t>Tue, 18 Jul 2023 00:00:00 GMT</t>
  </si>
  <si>
    <t>Mon, 17 Jul 2023 00:00:00 GMT</t>
  </si>
  <si>
    <t>Fri, 14 Jul 2023 00:00:00 GMT</t>
  </si>
  <si>
    <t>Thu, 13 Jul 2023 00:00:00 GMT</t>
  </si>
  <si>
    <t>Wed, 12 Jul 2023 00:00:00 GMT</t>
  </si>
  <si>
    <t>Tue, 11 Jul 2023 00:00:00 GMT</t>
  </si>
  <si>
    <t>Mon, 10 Jul 2023 00:00:00 GMT</t>
  </si>
  <si>
    <t>Fri, 07 Jul 2023 00:00:00 GMT</t>
  </si>
  <si>
    <t>Thu, 06 Jul 2023 00:00:00 GMT</t>
  </si>
  <si>
    <t>Wed, 05 Jul 2023 00:00:00 GMT</t>
  </si>
  <si>
    <t>Mon, 03 Jul 2023 00:00:00 GMT</t>
  </si>
  <si>
    <t>Fri, 30 Jun 2023 00:00:00 GMT</t>
  </si>
  <si>
    <t>Thu, 29 Jun 2023 00:00:00 GMT</t>
  </si>
  <si>
    <t>Wed, 28 Jun 2023 00:00:00 GMT</t>
  </si>
  <si>
    <t>Tue, 27 Jun 2023 00:00:00 GMT</t>
  </si>
  <si>
    <t>Mon, 26 Jun 2023 00:00:00 GMT</t>
  </si>
  <si>
    <t>Fri, 23 Jun 2023 00:00:00 GMT</t>
  </si>
  <si>
    <t>Thu, 22 Jun 2023 00:00:00 GMT</t>
  </si>
  <si>
    <t>Wed, 21 Jun 2023 00:00:00 GMT</t>
  </si>
  <si>
    <t>Tue, 20 Jun 2023 00:00:00 GMT</t>
  </si>
  <si>
    <t>Fri, 16 Jun 2023 00:00:00 GMT</t>
  </si>
  <si>
    <t>Thu, 15 Jun 2023 00:00:00 GMT</t>
  </si>
  <si>
    <t>Wed, 14 Jun 2023 00:00:00 GMT</t>
  </si>
  <si>
    <t>Tue, 13 Jun 2023 00:00:00 GMT</t>
  </si>
  <si>
    <t>Mon, 12 Jun 2023 00:00:00 GMT</t>
  </si>
  <si>
    <t>Fri, 09 Jun 2023 00:00:00 GMT</t>
  </si>
  <si>
    <t>Thu, 08 Jun 2023 00:00:00 GMT</t>
  </si>
  <si>
    <t>Wed, 07 Jun 2023 00:00:00 GMT</t>
  </si>
  <si>
    <t>Tue, 06 Jun 2023 00:00:00 GMT</t>
  </si>
  <si>
    <t>Mon, 05 Jun 2023 00:00:00 GMT</t>
  </si>
  <si>
    <t>Fri, 02 Jun 2023 00:00:00 GMT</t>
  </si>
  <si>
    <t>Thu, 01 Jun 2023 00:00:00 GMT</t>
  </si>
  <si>
    <t>Wed, 31 May 2023 00:00:00 GMT</t>
  </si>
  <si>
    <t>Tue, 30 May 2023 00:00:00 GMT</t>
  </si>
  <si>
    <t>Fri, 26 May 2023 00:00:00 GMT</t>
  </si>
  <si>
    <t>Thu, 25 May 2023 00:00:00 GMT</t>
  </si>
  <si>
    <t>Wed, 24 May 2023 00:00:00 GMT</t>
  </si>
  <si>
    <t>Tue, 23 May 2023 00:00:00 GMT</t>
  </si>
  <si>
    <t>Mon, 22 May 2023 00:00:00 GMT</t>
  </si>
  <si>
    <t>Fri, 19 May 2023 00:00:00 GMT</t>
  </si>
  <si>
    <t>Thu, 18 May 2023 00:00:00 GMT</t>
  </si>
  <si>
    <t>Wed, 17 May 2023 00:00:00 GMT</t>
  </si>
  <si>
    <t>Tue, 16 May 2023 00:00:00 GMT</t>
  </si>
  <si>
    <t>Mon, 15 May 2023 00:00:00 GMT</t>
  </si>
  <si>
    <t>Fri, 12 May 2023 00:00:00 GMT</t>
  </si>
  <si>
    <t>Thu, 11 May 2023 00:00:00 GMT</t>
  </si>
  <si>
    <t>Wed, 10 May 2023 00:00:00 GMT</t>
  </si>
  <si>
    <t>Tue, 09 May 2023 00:00:00 GMT</t>
  </si>
  <si>
    <t>Mon, 08 May 2023 00:00:00 GMT</t>
  </si>
  <si>
    <t>Fri, 05 May 2023 00:00:00 GMT</t>
  </si>
  <si>
    <t>Thu, 04 May 2023 00:00:00 GMT</t>
  </si>
  <si>
    <t>Wed, 03 May 2023 00:00:00 GMT</t>
  </si>
  <si>
    <t>Tue, 02 May 2023 00:00:00 GMT</t>
  </si>
  <si>
    <t>Mon, 01 May 2023 00:00:00 GMT</t>
  </si>
  <si>
    <t>Fri, 28 Apr 2023 00:00:00 GMT</t>
  </si>
  <si>
    <t>Thu, 27 Apr 2023 00:00:00 GMT</t>
  </si>
  <si>
    <t>Wed, 26 Apr 2023 00:00:00 GMT</t>
  </si>
  <si>
    <t>Tue, 25 Apr 2023 00:00:00 GMT</t>
  </si>
  <si>
    <t>Mon, 24 Apr 2023 00:00:00 GMT</t>
  </si>
  <si>
    <t>Fri, 21 Apr 2023 00:00:00 GMT</t>
  </si>
  <si>
    <t>Thu, 20 Apr 2023 00:00:00 GMT</t>
  </si>
  <si>
    <t>Wed, 19 Apr 2023 00:00:00 GMT</t>
  </si>
  <si>
    <t>Tue, 18 Apr 2023 00:00:00 GMT</t>
  </si>
  <si>
    <t>Mon, 17 Apr 2023 00:00:00 GMT</t>
  </si>
  <si>
    <t>Fri, 14 Apr 2023 00:00:00 GMT</t>
  </si>
  <si>
    <t>Thu, 13 Apr 2023 00:00:00 GMT</t>
  </si>
  <si>
    <t>Wed, 12 Apr 2023 00:00:00 GMT</t>
  </si>
  <si>
    <t>Tue, 11 Apr 2023 00:00:00 GMT</t>
  </si>
  <si>
    <t>Mon, 10 Apr 2023 00:00:00 GMT</t>
  </si>
  <si>
    <t>Thu, 06 Apr 2023 00:00:00 GMT</t>
  </si>
  <si>
    <t>Wed, 05 Apr 2023 00:00:00 GMT</t>
  </si>
  <si>
    <t>Tue, 04 Apr 2023 00:00:00 GMT</t>
  </si>
  <si>
    <t>Mon, 03 Apr 2023 00:00:00 GMT</t>
  </si>
  <si>
    <t>Fri, 31 Mar 2023 00:00:00 GMT</t>
  </si>
  <si>
    <t>Thu, 30 Mar 2023 00:00:00 GMT</t>
  </si>
  <si>
    <t>Wed, 29 Mar 2023 00:00:00 GMT</t>
  </si>
  <si>
    <t>Tue, 28 Mar 2023 00:00:00 GMT</t>
  </si>
  <si>
    <t>Mon, 27 Mar 2023 00:00:00 GMT</t>
  </si>
  <si>
    <t>Fri, 24 Mar 2023 00:00:00 GMT</t>
  </si>
  <si>
    <t>Thu, 23 Mar 2023 00:00:00 GMT</t>
  </si>
  <si>
    <t>Wed, 22 Mar 2023 00:00:00 GMT</t>
  </si>
  <si>
    <t>Tue, 21 Mar 2023 00:00:00 GMT</t>
  </si>
  <si>
    <t>Mon, 20 Mar 2023 00:00:00 GMT</t>
  </si>
  <si>
    <t>Fri, 17 Mar 2023 00:00:00 GMT</t>
  </si>
  <si>
    <t>Thu, 16 Mar 2023 00:00:00 GMT</t>
  </si>
  <si>
    <t>Wed, 15 Mar 2023 00:00:00 GMT</t>
  </si>
  <si>
    <t>Tue, 14 Mar 2023 00:00:00 GMT</t>
  </si>
  <si>
    <t>Mon, 13 Mar 2023 00:00:00 GMT</t>
  </si>
  <si>
    <t>Fri, 10 Mar 2023 00:00:00 GMT</t>
  </si>
  <si>
    <t>Thu, 09 Mar 2023 00:00:00 GMT</t>
  </si>
  <si>
    <t>Wed, 08 Mar 2023 00:00:00 GMT</t>
  </si>
  <si>
    <t>Tue, 07 Mar 2023 00:00:00 GMT</t>
  </si>
  <si>
    <t>Mon, 06 Mar 2023 00:00:00 GMT</t>
  </si>
  <si>
    <t>Fri, 03 Mar 2023 00:00:00 GMT</t>
  </si>
  <si>
    <t>Thu, 02 Mar 2023 00:00:00 GMT</t>
  </si>
  <si>
    <t>Wed, 01 Mar 2023 00:00:00 GMT</t>
  </si>
  <si>
    <t>Tue, 28 Feb 2023 00:00:00 GMT</t>
  </si>
  <si>
    <t>Mon, 27 Feb 2023 00:00:00 GMT</t>
  </si>
  <si>
    <t>Fri, 24 Feb 2023 00:00:00 GMT</t>
  </si>
  <si>
    <t>Thu, 23 Feb 2023 00:00:00 GMT</t>
  </si>
  <si>
    <t>Wed, 22 Feb 2023 00:00:00 GMT</t>
  </si>
  <si>
    <t>Tue, 21 Feb 2023 00:00:00 GMT</t>
  </si>
  <si>
    <t>Fri, 17 Feb 2023 00:00:00 GMT</t>
  </si>
  <si>
    <t>Thu, 16 Feb 2023 00:00:00 GMT</t>
  </si>
  <si>
    <t>Wed, 15 Feb 2023 00:00:00 GMT</t>
  </si>
  <si>
    <t>Tue, 14 Feb 2023 00:00:00 GMT</t>
  </si>
  <si>
    <t>Mon, 13 Feb 2023 00:00:00 GMT</t>
  </si>
  <si>
    <t>Fri, 10 Feb 2023 00:00:00 GMT</t>
  </si>
  <si>
    <t>Thu, 09 Feb 2023 00:00:00 GMT</t>
  </si>
  <si>
    <t>Wed, 08 Feb 2023 00:00:00 GMT</t>
  </si>
  <si>
    <t>Tue, 07 Feb 2023 00:00:00 GMT</t>
  </si>
  <si>
    <t>Mon, 06 Feb 2023 00:00:00 GMT</t>
  </si>
  <si>
    <t>Fri, 03 Feb 2023 00:00:00 GMT</t>
  </si>
  <si>
    <t>Thu, 02 Feb 2023 00:00:00 GMT</t>
  </si>
  <si>
    <t>Wed, 01 Feb 2023 00:00:00 GMT</t>
  </si>
  <si>
    <t>Tue, 31 Jan 2023 00:00:00 GMT</t>
  </si>
  <si>
    <t>Mon, 30 Jan 2023 00:00:00 GMT</t>
  </si>
  <si>
    <t>Fri, 27 Jan 2023 00:00:00 GMT</t>
  </si>
  <si>
    <t>Thu, 26 Jan 2023 00:00:00 GMT</t>
  </si>
  <si>
    <t>Wed, 25 Jan 2023 00:00:00 GMT</t>
  </si>
  <si>
    <t>Tue, 24 Jan 2023 00:00:00 GMT</t>
  </si>
  <si>
    <t>Mon, 23 Jan 2023 00:00:00 GMT</t>
  </si>
  <si>
    <t>Fri, 20 Jan 2023 00:00:00 GMT</t>
  </si>
  <si>
    <t>Thu, 19 Jan 2023 00:00:00 GMT</t>
  </si>
  <si>
    <t>Wed, 18 Jan 2023 00:00:00 GMT</t>
  </si>
  <si>
    <t>Tue, 17 Jan 2023 00:00:00 GMT</t>
  </si>
  <si>
    <t>Fri, 13 Jan 2023 00:00:00 GMT</t>
  </si>
  <si>
    <t>Thu, 12 Jan 2023 00:00:00 GMT</t>
  </si>
  <si>
    <t>Wed, 11 Jan 2023 00:00:00 GMT</t>
  </si>
  <si>
    <t>Tue, 10 Jan 2023 00:00:00 GMT</t>
  </si>
  <si>
    <t>Mon, 09 Jan 2023 00:00:00 GMT</t>
  </si>
  <si>
    <t>Fri, 06 Jan 2023 00:00:00 GMT</t>
  </si>
  <si>
    <t>Thu, 05 Jan 2023 00:00:00 GMT</t>
  </si>
  <si>
    <t>Wed, 04 Jan 2023 00:00:00 GMT</t>
  </si>
  <si>
    <t>Tue, 03 Jan 2023 00:00:00 GMT</t>
  </si>
  <si>
    <t>Fri, 30 Dec 2022 00:00:00 GMT</t>
  </si>
  <si>
    <t>Thu, 29 Dec 2022 00:00:00 GMT</t>
  </si>
  <si>
    <t>Wed, 28 Dec 2022 00:00:00 GMT</t>
  </si>
  <si>
    <t>Tue, 27 Dec 2022 00:00:00 GMT</t>
  </si>
  <si>
    <t>Fri, 23 Dec 2022 00:00:00 GMT</t>
  </si>
  <si>
    <t>Thu, 22 Dec 2022 00:00:00 GMT</t>
  </si>
  <si>
    <t>Wed, 21 Dec 2022 00:00:00 GMT</t>
  </si>
  <si>
    <t>Tue, 20 Dec 2022 00:00:00 GMT</t>
  </si>
  <si>
    <t>Mon, 19 Dec 2022 00:00:00 GMT</t>
  </si>
  <si>
    <t>Fri, 16 Dec 2022 00:00:00 GMT</t>
  </si>
  <si>
    <t>Thu, 15 Dec 2022 00:00:00 GMT</t>
  </si>
  <si>
    <t>Wed, 14 Dec 2022 00:00:00 GMT</t>
  </si>
  <si>
    <t>Tue, 13 Dec 2022 00:00:00 GMT</t>
  </si>
  <si>
    <t>Mon, 12 Dec 2022 00:00:00 GMT</t>
  </si>
  <si>
    <t>Fri, 09 Dec 2022 00:00:00 GMT</t>
  </si>
  <si>
    <t>Thu, 08 Dec 2022 00:00:00 GMT</t>
  </si>
  <si>
    <t>Wed, 07 Dec 2022 00:00:00 GMT</t>
  </si>
  <si>
    <t>Tue, 06 Dec 2022 00:00:00 GMT</t>
  </si>
  <si>
    <t>Mon, 05 Dec 2022 00:00:00 GMT</t>
  </si>
  <si>
    <t>Fri, 02 Dec 2022 00:00:00 GMT</t>
  </si>
  <si>
    <t>Thu, 01 Dec 2022 00:00:00 GMT</t>
  </si>
  <si>
    <t>Wed, 30 Nov 2022 00:00:00 GMT</t>
  </si>
  <si>
    <t>Tue, 29 Nov 2022 00:00:00 GMT</t>
  </si>
  <si>
    <t>Mon, 28 Nov 2022 00:00:00 GMT</t>
  </si>
  <si>
    <t>Fri, 25 Nov 2022 00:00:00 GMT</t>
  </si>
  <si>
    <t>Wed, 23 Nov 2022 00:00:00 GMT</t>
  </si>
  <si>
    <t>Tue, 22 Nov 2022 00:00:00 GMT</t>
  </si>
  <si>
    <t>Mon, 21 Nov 2022 00:00:00 GMT</t>
  </si>
  <si>
    <t>Fri, 18 Nov 2022 00:00:00 GMT</t>
  </si>
  <si>
    <t>Thu, 17 Nov 2022 00:00:00 GMT</t>
  </si>
  <si>
    <t>Wed, 16 Nov 2022 00:00:00 GMT</t>
  </si>
  <si>
    <t>Tue, 15 Nov 2022 00:00:00 GMT</t>
  </si>
  <si>
    <t>Mon, 14 Nov 2022 00:00:00 GMT</t>
  </si>
  <si>
    <t>Fri, 11 Nov 2022 00:00:00 GMT</t>
  </si>
  <si>
    <t>Thu, 10 Nov 2022 00:00:00 GMT</t>
  </si>
  <si>
    <t>Wed, 09 Nov 2022 00:00:00 GMT</t>
  </si>
  <si>
    <t>Tue, 08 Nov 2022 00:00:00 GMT</t>
  </si>
  <si>
    <t>Mon, 07 Nov 2022 00:00:00 GMT</t>
  </si>
  <si>
    <t>Fri, 04 Nov 2022 00:00:00 GMT</t>
  </si>
  <si>
    <t>Thu, 03 Nov 2022 00:00:00 GMT</t>
  </si>
  <si>
    <t>Wed, 02 Nov 2022 00:00:00 GMT</t>
  </si>
  <si>
    <t>Tue, 01 Nov 2022 00:00:00 GMT</t>
  </si>
  <si>
    <t>Mon, 31 Oct 2022 00:00:00 GMT</t>
  </si>
  <si>
    <t>Fri, 28 Oct 2022 00:00:00 GMT</t>
  </si>
  <si>
    <t>Thu, 27 Oct 2022 00:00:00 GMT</t>
  </si>
  <si>
    <t>Wed, 26 Oct 2022 00:00:00 GMT</t>
  </si>
  <si>
    <t>Tue, 25 Oct 2022 00:00:00 GMT</t>
  </si>
  <si>
    <t>Mon, 24 Oct 2022 00:00:00 GMT</t>
  </si>
  <si>
    <t>Fri, 21 Oct 2022 00:00:00 GMT</t>
  </si>
  <si>
    <t>Thu, 20 Oct 2022 00:00:00 GMT</t>
  </si>
  <si>
    <t>Wed, 19 Oct 2022 00:00:00 GMT</t>
  </si>
  <si>
    <t>Tue, 18 Oct 2022 00:00:00 GMT</t>
  </si>
  <si>
    <t>Mon, 17 Oct 2022 00:00:00 GMT</t>
  </si>
  <si>
    <t>Fri, 14 Oct 2022 00:00:00 GMT</t>
  </si>
  <si>
    <t>Thu, 13 Oct 2022 00:00:00 GMT</t>
  </si>
  <si>
    <t>Wed, 12 Oct 2022 00:00:00 GMT</t>
  </si>
  <si>
    <t>Tue, 11 Oct 2022 00:00:00 GMT</t>
  </si>
  <si>
    <t>Mon, 10 Oct 2022 00:00:00 GMT</t>
  </si>
  <si>
    <t>Fri, 07 Oct 2022 00:00:00 GMT</t>
  </si>
  <si>
    <t>Thu, 06 Oct 2022 00:00:00 GMT</t>
  </si>
  <si>
    <t>Wed, 05 Oct 2022 00:00:00 GMT</t>
  </si>
  <si>
    <t>Tue, 04 Oct 2022 00:00:00 GMT</t>
  </si>
  <si>
    <t>Mon, 03 Oct 2022 00:00:00 GMT</t>
  </si>
  <si>
    <t>Fri, 30 Sep 2022 00:00:00 GMT</t>
  </si>
  <si>
    <t>Thu, 29 Sep 2022 00:00:00 GMT</t>
  </si>
  <si>
    <t>Wed, 28 Sep 2022 00:00:00 GMT</t>
  </si>
  <si>
    <t>Tue, 27 Sep 2022 00:00:00 GMT</t>
  </si>
  <si>
    <t>Mon, 26 Sep 2022 00:00:00 GMT</t>
  </si>
  <si>
    <t>Fri, 23 Sep 2022 00:00:00 GMT</t>
  </si>
  <si>
    <t>Thu, 22 Sep 2022 00:00:00 GMT</t>
  </si>
  <si>
    <t>Wed, 21 Sep 2022 00:00:00 GMT</t>
  </si>
  <si>
    <t>Tue, 20 Sep 2022 00:00:00 GMT</t>
  </si>
  <si>
    <t>Mon, 19 Sep 2022 00:00:00 GMT</t>
  </si>
  <si>
    <t>Fri, 16 Sep 2022 00:00:00 GMT</t>
  </si>
  <si>
    <t>Thu, 15 Sep 2022 00:00:00 GMT</t>
  </si>
  <si>
    <t>Wed, 14 Sep 2022 00:00:00 GMT</t>
  </si>
  <si>
    <t>Tue, 13 Sep 2022 00:00:00 GMT</t>
  </si>
  <si>
    <t>Mon, 12 Sep 2022 00:00:00 GMT</t>
  </si>
  <si>
    <t>Fri, 09 Sep 2022 00:00:00 GMT</t>
  </si>
  <si>
    <t>Thu, 08 Sep 2022 00:00:00 GMT</t>
  </si>
  <si>
    <t>Wed, 07 Sep 2022 00:00:00 GMT</t>
  </si>
  <si>
    <t>Tue, 06 Sep 2022 00:00:00 GMT</t>
  </si>
  <si>
    <t>Fri, 02 Sep 2022 00:00:00 GMT</t>
  </si>
  <si>
    <t>Thu, 01 Sep 2022 00:00:00 GMT</t>
  </si>
  <si>
    <t>Wed, 31 Aug 2022 00:00:00 GMT</t>
  </si>
  <si>
    <t>Tue, 30 Aug 2022 00:00:00 GMT</t>
  </si>
  <si>
    <t>Mon, 29 Aug 2022 00:00:00 GMT</t>
  </si>
  <si>
    <t>Fri, 26 Aug 2022 00:00:00 GMT</t>
  </si>
  <si>
    <t>Thu, 25 Aug 2022 00:00:00 GMT</t>
  </si>
  <si>
    <t>Wed, 24 Aug 2022 00:00:00 GMT</t>
  </si>
  <si>
    <t>Tue, 23 Aug 2022 00:00:00 GMT</t>
  </si>
  <si>
    <t>Mon, 22 Aug 2022 00:00:00 GMT</t>
  </si>
  <si>
    <t>Fri, 19 Aug 2022 00:00:00 GMT</t>
  </si>
  <si>
    <t>Thu, 18 Aug 2022 00:00:00 GMT</t>
  </si>
  <si>
    <t>Wed, 17 Aug 2022 00:00:00 GMT</t>
  </si>
  <si>
    <t>Tue, 16 Aug 2022 00:00:00 GMT</t>
  </si>
  <si>
    <t>Mon, 15 Aug 2022 00:00:00 GMT</t>
  </si>
  <si>
    <t>Fri, 12 Aug 2022 00:00:00 GMT</t>
  </si>
  <si>
    <t>Thu, 11 Aug 2022 00:00:00 GMT</t>
  </si>
  <si>
    <t>Wed, 10 Aug 2022 00:00:00 GMT</t>
  </si>
  <si>
    <t>Tue, 09 Aug 2022 00:00:00 GMT</t>
  </si>
  <si>
    <t>Mon, 08 Aug 2022 00:00:00 GMT</t>
  </si>
  <si>
    <t>Fri, 05 Aug 2022 00:00:00 GMT</t>
  </si>
  <si>
    <t>Thu, 04 Aug 2022 00:00:00 GMT</t>
  </si>
  <si>
    <t>Wed, 03 Aug 2022 00:00:00 GMT</t>
  </si>
  <si>
    <t>Tue, 02 Aug 2022 00:00:00 GMT</t>
  </si>
  <si>
    <t>Mon, 01 Aug 2022 00:00:00 GMT</t>
  </si>
  <si>
    <t>Fri, 29 Jul 2022 00:00:00 GMT</t>
  </si>
  <si>
    <t>Thu, 28 Jul 2022 00:00:00 GMT</t>
  </si>
  <si>
    <t>Wed, 27 Jul 2022 00:00:00 GMT</t>
  </si>
  <si>
    <t>Tue, 26 Jul 2022 00:00:00 GMT</t>
  </si>
  <si>
    <t>Mon, 25 Jul 2022 00:00:00 GMT</t>
  </si>
  <si>
    <t>Fri, 22 Jul 2022 00:00:00 GMT</t>
  </si>
  <si>
    <t>Thu, 21 Jul 2022 00:00:00 GMT</t>
  </si>
  <si>
    <t>Wed, 20 Jul 2022 00:00:00 GMT</t>
  </si>
  <si>
    <t>Tue, 19 Jul 2022 00:00:00 GMT</t>
  </si>
  <si>
    <t>Mon, 18 Jul 2022 00:00:00 GMT</t>
  </si>
  <si>
    <t>Fri, 15 Jul 2022 00:00:00 GMT</t>
  </si>
  <si>
    <t>Thu, 14 Jul 2022 00:00:00 GMT</t>
  </si>
  <si>
    <t>Wed, 13 Jul 2022 00:00:00 GMT</t>
  </si>
  <si>
    <t>Tue, 12 Jul 2022 00:00:00 GMT</t>
  </si>
  <si>
    <t>Mon, 11 Jul 2022 00:00:00 GMT</t>
  </si>
  <si>
    <t>Fri, 08 Jul 2022 00:00:00 GMT</t>
  </si>
  <si>
    <t>Thu, 07 Jul 2022 00:00:00 GMT</t>
  </si>
  <si>
    <t>Wed, 06 Jul 2022 00:00:00 GMT</t>
  </si>
  <si>
    <t>Tue, 05 Jul 2022 00:00:00 GMT</t>
  </si>
  <si>
    <t>Fri, 01 Jul 2022 00:00:00 GMT</t>
  </si>
  <si>
    <t>Thu, 30 Jun 2022 00:00:00 GMT</t>
  </si>
  <si>
    <t>Wed, 29 Jun 2022 00:00:00 GMT</t>
  </si>
  <si>
    <t>Tue, 28 Jun 2022 00:00:00 GMT</t>
  </si>
  <si>
    <t>Mon, 27 Jun 2022 00:00:00 GMT</t>
  </si>
  <si>
    <t>Fri, 24 Jun 2022 00:00:00 GMT</t>
  </si>
  <si>
    <t>Thu, 23 Jun 2022 00:00:00 GMT</t>
  </si>
  <si>
    <t>Wed, 22 Jun 2022 00:00:00 GMT</t>
  </si>
  <si>
    <t>Tue, 21 Jun 2022 00:00:00 GMT</t>
  </si>
  <si>
    <t>Fri, 17 Jun 2022 00:00:00 GMT</t>
  </si>
  <si>
    <t>Thu, 16 Jun 2022 00:00:00 GMT</t>
  </si>
  <si>
    <t>Wed, 15 Jun 2022 00:00:00 GMT</t>
  </si>
  <si>
    <t>Tue, 14 Jun 2022 00:00:00 GMT</t>
  </si>
  <si>
    <t>Mon, 13 Jun 2022 00:00:00 GMT</t>
  </si>
  <si>
    <t>Fri, 10 Jun 2022 00:00:00 GMT</t>
  </si>
  <si>
    <t>Thu, 09 Jun 2022 00:00:00 GMT</t>
  </si>
  <si>
    <t>Wed, 08 Jun 2022 00:00:00 GMT</t>
  </si>
  <si>
    <t>Tue, 07 Jun 2022 00:00:00 GMT</t>
  </si>
  <si>
    <t>Mon, 06 Jun 2022 00:00:00 GMT</t>
  </si>
  <si>
    <t>Fri, 03 Jun 2022 00:00:00 GMT</t>
  </si>
  <si>
    <t>Thu, 02 Jun 2022 00:00:00 GMT</t>
  </si>
  <si>
    <t>Wed, 01 Jun 2022 00:00:00 GMT</t>
  </si>
  <si>
    <t>Tue, 31 May 2022 00:00:00 GMT</t>
  </si>
  <si>
    <t>Fri, 27 May 2022 00:00:00 GMT</t>
  </si>
  <si>
    <t>Thu, 26 May 2022 00:00:00 GMT</t>
  </si>
  <si>
    <t>Wed, 25 May 2022 00:00:00 GMT</t>
  </si>
  <si>
    <t>Tue, 24 May 2022 00:00:00 GMT</t>
  </si>
  <si>
    <t>Mon, 23 May 2022 00:00:00 GMT</t>
  </si>
  <si>
    <t>Fri, 20 May 2022 00:00:00 GMT</t>
  </si>
  <si>
    <t>Thu, 19 May 2022 00:00:00 GMT</t>
  </si>
  <si>
    <t>Wed, 18 May 2022 00:00:00 GMT</t>
  </si>
  <si>
    <t>Tue, 17 May 2022 00:00:00 GMT</t>
  </si>
  <si>
    <t>Mon, 16 May 2022 00:00:00 GMT</t>
  </si>
  <si>
    <t>Fri, 13 May 2022 00:00:00 GMT</t>
  </si>
  <si>
    <t>Thu, 12 May 2022 00:00:00 GMT</t>
  </si>
  <si>
    <t>Wed, 11 May 2022 00:00:00 GMT</t>
  </si>
  <si>
    <t>Tue, 10 May 2022 00:00:00 GMT</t>
  </si>
  <si>
    <t>Mon, 09 May 2022 00:00:00 GMT</t>
  </si>
  <si>
    <t>Fri, 06 May 2022 00:00:00 GMT</t>
  </si>
  <si>
    <t>Thu, 05 May 2022 00:00:00 GMT</t>
  </si>
  <si>
    <t>Wed, 04 May 2022 00:00:00 GMT</t>
  </si>
  <si>
    <t>Tue, 03 May 2022 00:00:00 GMT</t>
  </si>
  <si>
    <t>Mon, 02 May 2022 00:00:00 GMT</t>
  </si>
  <si>
    <t>Fri, 29 Apr 2022 00:00:00 GMT</t>
  </si>
  <si>
    <t>Thu, 28 Apr 2022 00:00:00 GMT</t>
  </si>
  <si>
    <t>Wed, 27 Apr 2022 00:00:00 GMT</t>
  </si>
  <si>
    <t>Tue, 26 Apr 2022 00:00:00 GMT</t>
  </si>
  <si>
    <t>Mon, 25 Apr 2022 00:00:00 GMT</t>
  </si>
  <si>
    <t>Fri, 22 Apr 2022 00:00:00 GMT</t>
  </si>
  <si>
    <t>Thu, 21 Apr 2022 00:00:00 GMT</t>
  </si>
  <si>
    <t>Wed, 20 Apr 2022 00:00:00 GMT</t>
  </si>
  <si>
    <t>Tue, 19 Apr 2022 00:00:00 GMT</t>
  </si>
  <si>
    <t>Mon, 18 Apr 2022 00:00:00 GMT</t>
  </si>
  <si>
    <t>Thu, 14 Apr 2022 00:00:00 GMT</t>
  </si>
  <si>
    <t>Wed, 13 Apr 2022 00:00:00 GMT</t>
  </si>
  <si>
    <t>Tue, 12 Apr 2022 00:00:00 GMT</t>
  </si>
  <si>
    <t>Mon, 11 Apr 2022 00:00:00 GMT</t>
  </si>
  <si>
    <t>Fri, 08 Apr 2022 00:00:00 GMT</t>
  </si>
  <si>
    <t>Thu, 07 Apr 2022 00:00:00 GMT</t>
  </si>
  <si>
    <t>Wed, 06 Apr 2022 00:00:00 GMT</t>
  </si>
  <si>
    <t>Tue, 05 Apr 2022 00:00:00 GMT</t>
  </si>
  <si>
    <t>Mon, 04 Apr 2022 00:00:00 GMT</t>
  </si>
  <si>
    <t>Fri, 01 Apr 2022 00:00:00 GMT</t>
  </si>
  <si>
    <t>Thu, 31 Mar 2022 00:00:00 GMT</t>
  </si>
  <si>
    <t>Wed, 30 Mar 2022 00:00:00 GMT</t>
  </si>
  <si>
    <t>Tue, 29 Mar 2022 00:00:00 GMT</t>
  </si>
  <si>
    <t>Mon, 28 Mar 2022 00:00:00 GMT</t>
  </si>
  <si>
    <t>Fri, 25 Mar 2022 00:00:00 GMT</t>
  </si>
  <si>
    <t>Thu, 24 Mar 2022 00:00:00 GMT</t>
  </si>
  <si>
    <t>Wed, 23 Mar 2022 00:00:00 GMT</t>
  </si>
  <si>
    <t>Tue, 22 Mar 2022 00:00:00 GMT</t>
  </si>
  <si>
    <t>Mon, 21 Mar 2022 00:00:00 GMT</t>
  </si>
  <si>
    <t>Fri, 18 Mar 2022 00:00:00 GMT</t>
  </si>
  <si>
    <t>Thu, 17 Mar 2022 00:00:00 GMT</t>
  </si>
  <si>
    <t>Wed, 16 Mar 2022 00:00:00 GMT</t>
  </si>
  <si>
    <t>Tue, 15 Mar 2022 00:00:00 GMT</t>
  </si>
  <si>
    <t>Mon, 14 Mar 2022 00:00:00 GMT</t>
  </si>
  <si>
    <t>Fri, 11 Mar 2022 00:00:00 GMT</t>
  </si>
  <si>
    <t>Thu, 10 Mar 2022 00:00:00 GMT</t>
  </si>
  <si>
    <t>Wed, 09 Mar 2022 00:00:00 GMT</t>
  </si>
  <si>
    <t>Tue, 08 Mar 2022 00:00:00 GMT</t>
  </si>
  <si>
    <t>Mon, 07 Mar 2022 00:00:00 GMT</t>
  </si>
  <si>
    <t>Fri, 04 Mar 2022 00:00:00 GMT</t>
  </si>
  <si>
    <t>Thu, 03 Mar 2022 00:00:00 GMT</t>
  </si>
  <si>
    <t>Wed, 02 Mar 2022 00:00:00 GMT</t>
  </si>
  <si>
    <t>Tue, 01 Mar 2022 00:00:00 GMT</t>
  </si>
  <si>
    <t>Mon, 28 Feb 2022 00:00:00 GMT</t>
  </si>
  <si>
    <t>Fri, 25 Feb 2022 00:00:00 GMT</t>
  </si>
  <si>
    <t>Thu, 24 Feb 2022 00:00:00 GMT</t>
  </si>
  <si>
    <t>Wed, 23 Feb 2022 00:00:00 GMT</t>
  </si>
  <si>
    <t>Tue, 22 Feb 2022 00:00:00 GMT</t>
  </si>
  <si>
    <t>Fri, 18 Feb 2022 00:00:00 GMT</t>
  </si>
  <si>
    <t>Thu, 17 Feb 2022 00:00:00 GMT</t>
  </si>
  <si>
    <t>Wed, 16 Feb 2022 00:00:00 GMT</t>
  </si>
  <si>
    <t>Tue, 15 Feb 2022 00:00:00 GMT</t>
  </si>
  <si>
    <t>Mon, 14 Feb 2022 00:00:00 GMT</t>
  </si>
  <si>
    <t>Fri, 11 Feb 2022 00:00:00 GMT</t>
  </si>
  <si>
    <t>Thu, 10 Feb 2022 00:00:00 GMT</t>
  </si>
  <si>
    <t>Wed, 09 Feb 2022 00:00:00 GMT</t>
  </si>
  <si>
    <t>Tue, 08 Feb 2022 00:00:00 GMT</t>
  </si>
  <si>
    <t>Mon, 07 Feb 2022 00:00:00 GMT</t>
  </si>
  <si>
    <t>Fri, 04 Feb 2022 00:00:00 GMT</t>
  </si>
  <si>
    <t>Thu, 03 Feb 2022 00:00:00 GMT</t>
  </si>
  <si>
    <t>Wed, 02 Feb 2022 00:00:00 GMT</t>
  </si>
  <si>
    <t>Tue, 01 Feb 2022 00:00:00 GMT</t>
  </si>
  <si>
    <t>Mon, 31 Jan 2022 00:00:00 GMT</t>
  </si>
  <si>
    <t>Fri, 28 Jan 2022 00:00:00 GMT</t>
  </si>
  <si>
    <t>Thu, 27 Jan 2022 00:00:00 GMT</t>
  </si>
  <si>
    <t>Wed, 26 Jan 2022 00:00:00 GMT</t>
  </si>
  <si>
    <t>Tue, 25 Jan 2022 00:00:00 GMT</t>
  </si>
  <si>
    <t>Mon, 24 Jan 2022 00:00:00 GMT</t>
  </si>
  <si>
    <t>Fri, 21 Jan 2022 00:00:00 GMT</t>
  </si>
  <si>
    <t>Thu, 20 Jan 2022 00:00:00 GMT</t>
  </si>
  <si>
    <t>Wed, 19 Jan 2022 00:00:00 GMT</t>
  </si>
  <si>
    <t>Tue, 18 Jan 2022 00:00:00 GMT</t>
  </si>
  <si>
    <t>Fri, 14 Jan 2022 00:00:00 GMT</t>
  </si>
  <si>
    <t>Thu, 13 Jan 2022 00:00:00 GMT</t>
  </si>
  <si>
    <t>Wed, 12 Jan 2022 00:00:00 GMT</t>
  </si>
  <si>
    <t>Tue, 11 Jan 2022 00:00:00 GMT</t>
  </si>
  <si>
    <t>Mon, 10 Jan 2022 00:00:00 GMT</t>
  </si>
  <si>
    <t>Fri, 07 Jan 2022 00:00:00 GMT</t>
  </si>
  <si>
    <t>Thu, 06 Jan 2022 00:00:00 GMT</t>
  </si>
  <si>
    <t>Wed, 05 Jan 2022 00:00:00 GMT</t>
  </si>
  <si>
    <t>Tue, 04 Jan 2022 00:00:00 GMT</t>
  </si>
  <si>
    <t>Mon, 03 Jan 2022 00:00:00 GMT</t>
  </si>
  <si>
    <t>Fri, 31 Dec 2021 00:00:00 GMT</t>
  </si>
  <si>
    <t>Thu, 30 Dec 2021 00:00:00 GMT</t>
  </si>
  <si>
    <t>Wed, 29 Dec 2021 00:00:00 GMT</t>
  </si>
  <si>
    <t>Tue, 28 Dec 2021 00:00:00 GMT</t>
  </si>
  <si>
    <t>Mon, 27 Dec 2021 00:00:00 GMT</t>
  </si>
  <si>
    <t>Thu, 23 Dec 2021 00:00:00 GMT</t>
  </si>
  <si>
    <t>Wed, 22 Dec 2021 00:00:00 GMT</t>
  </si>
  <si>
    <t>Tue, 21 Dec 2021 00:00:00 GMT</t>
  </si>
  <si>
    <t>Mon, 20 Dec 2021 00:00:00 GMT</t>
  </si>
  <si>
    <t>Fri, 17 Dec 2021 00:00:00 GMT</t>
  </si>
  <si>
    <t>Thu, 16 Dec 2021 00:00:00 GMT</t>
  </si>
  <si>
    <t>Wed, 15 Dec 2021 00:00:00 GMT</t>
  </si>
  <si>
    <t>Tue, 14 Dec 2021 00:00:00 GMT</t>
  </si>
  <si>
    <t>Mon, 13 Dec 2021 00:00:00 GMT</t>
  </si>
  <si>
    <t>Fri, 10 Dec 2021 00:00:00 GMT</t>
  </si>
  <si>
    <t>Thu, 09 Dec 2021 00:00:00 GMT</t>
  </si>
  <si>
    <t>Wed, 08 Dec 2021 00:00:00 GMT</t>
  </si>
  <si>
    <t>Tue, 07 Dec 2021 00:00:00 GMT</t>
  </si>
  <si>
    <t>Mon, 06 Dec 2021 00:00:00 GMT</t>
  </si>
  <si>
    <t>Fri, 03 Dec 2021 00:00:00 GMT</t>
  </si>
  <si>
    <t>Thu, 02 Dec 2021 00:00:00 GMT</t>
  </si>
  <si>
    <t>Wed, 01 Dec 2021 00:00:00 GMT</t>
  </si>
  <si>
    <t>Tue, 30 Nov 2021 00:00:00 GMT</t>
  </si>
  <si>
    <t>Mon, 29 Nov 2021 00:00:00 GMT</t>
  </si>
  <si>
    <t>Fri, 26 Nov 2021 00:00:00 GMT</t>
  </si>
  <si>
    <t>Wed, 24 Nov 2021 00:00:00 GMT</t>
  </si>
  <si>
    <t>Tue, 23 Nov 2021 00:00:00 GMT</t>
  </si>
  <si>
    <t>Mon, 22 Nov 2021 00:00:00 GMT</t>
  </si>
  <si>
    <t>Fri, 19 Nov 2021 00:00:00 GMT</t>
  </si>
  <si>
    <t>Thu, 18 Nov 2021 00:00:00 GMT</t>
  </si>
  <si>
    <t>Wed, 17 Nov 2021 00:00:00 GMT</t>
  </si>
  <si>
    <t>Tue, 16 Nov 2021 00:00:00 GMT</t>
  </si>
  <si>
    <t>Mon, 15 Nov 2021 00:00:00 GMT</t>
  </si>
  <si>
    <t>Fri, 12 Nov 2021 00:00:00 GMT</t>
  </si>
  <si>
    <t>Thu, 11 Nov 2021 00:00:00 GMT</t>
  </si>
  <si>
    <t>Wed, 10 Nov 2021 00:00:00 GMT</t>
  </si>
  <si>
    <t>Tue, 09 Nov 2021 00:00:00 GMT</t>
  </si>
  <si>
    <t>Mon, 08 Nov 2021 00:00:00 GMT</t>
  </si>
  <si>
    <t>Fri, 05 Nov 2021 00:00:00 GMT</t>
  </si>
  <si>
    <t>Thu, 04 Nov 2021 00:00:00 GMT</t>
  </si>
  <si>
    <t>Wed, 03 Nov 2021 00:00:00 GMT</t>
  </si>
  <si>
    <t>Tue, 02 Nov 2021 00:00:00 GMT</t>
  </si>
  <si>
    <t>Mon, 01 Nov 2021 00:00:00 GMT</t>
  </si>
  <si>
    <t>Fri, 29 Oct 2021 00:00:00 GMT</t>
  </si>
  <si>
    <t>Thu, 28 Oct 2021 00:00:00 GMT</t>
  </si>
  <si>
    <t>Wed, 27 Oct 2021 00:00:00 GMT</t>
  </si>
  <si>
    <t>Tue, 26 Oct 2021 00:00:00 GMT</t>
  </si>
  <si>
    <t>Mon, 25 Oct 2021 00:00:00 GMT</t>
  </si>
  <si>
    <t>Fri, 22 Oct 2021 00:00:00 GMT</t>
  </si>
  <si>
    <t>Thu, 21 Oct 2021 00:00:00 GMT</t>
  </si>
  <si>
    <t>Wed, 20 Oct 2021 00:00:00 GMT</t>
  </si>
  <si>
    <t>Tue, 19 Oct 2021 00:00:00 GMT</t>
  </si>
  <si>
    <t>Mon, 18 Oct 2021 00:00:00 GMT</t>
  </si>
  <si>
    <t>Fri, 15 Oct 2021 00:00:00 GMT</t>
  </si>
  <si>
    <t>Thu, 14 Oct 2021 00:00:00 GMT</t>
  </si>
  <si>
    <t>Wed, 13 Oct 2021 00:00:00 GMT</t>
  </si>
  <si>
    <t>Tue, 12 Oct 2021 00:00:00 GMT</t>
  </si>
  <si>
    <t>Mon, 11 Oct 2021 00:00:00 GMT</t>
  </si>
  <si>
    <t>Fri, 08 Oct 2021 00:00:00 GMT</t>
  </si>
  <si>
    <t>Thu, 07 Oct 2021 00:00:00 GMT</t>
  </si>
  <si>
    <t>Wed, 06 Oct 2021 00:00:00 GMT</t>
  </si>
  <si>
    <t>Tue, 05 Oct 2021 00:00:00 GMT</t>
  </si>
  <si>
    <t>Mon, 04 Oct 2021 00:00:00 GMT</t>
  </si>
  <si>
    <t>Fri, 01 Oct 2021 00:00:00 GMT</t>
  </si>
  <si>
    <t>Thu, 30 Sep 2021 00:00:00 GMT</t>
  </si>
  <si>
    <t>Wed, 29 Sep 2021 00:00:00 GMT</t>
  </si>
  <si>
    <t>Tue, 28 Sep 2021 00:00:00 GMT</t>
  </si>
  <si>
    <t>Mon, 27 Sep 2021 00:00:00 GMT</t>
  </si>
  <si>
    <t>Fri, 24 Sep 2021 00:00:00 GMT</t>
  </si>
  <si>
    <t>Thu, 23 Sep 2021 00:00:00 GMT</t>
  </si>
  <si>
    <t>Wed, 22 Sep 2021 00:00:00 GMT</t>
  </si>
  <si>
    <t>Tue, 21 Sep 2021 00:00:00 GMT</t>
  </si>
  <si>
    <t>Mon, 20 Sep 2021 00:00:00 GMT</t>
  </si>
  <si>
    <t>Fri, 17 Sep 2021 00:00:00 GMT</t>
  </si>
  <si>
    <t>Thu, 16 Sep 2021 00:00:00 GMT</t>
  </si>
  <si>
    <t>Wed, 15 Sep 2021 00:00:00 GMT</t>
  </si>
  <si>
    <t>Tue, 14 Sep 2021 00:00:00 GMT</t>
  </si>
  <si>
    <t>Mon, 13 Sep 2021 00:00:00 GMT</t>
  </si>
  <si>
    <t>Fri, 10 Sep 2021 00:00:00 GMT</t>
  </si>
  <si>
    <t>Thu, 09 Sep 2021 00:00:00 GMT</t>
  </si>
  <si>
    <t>Wed, 08 Sep 2021 00:00:00 GMT</t>
  </si>
  <si>
    <t>Tue, 07 Sep 2021 00:00:00 GMT</t>
  </si>
  <si>
    <t>Fri, 03 Sep 2021 00:00:00 GMT</t>
  </si>
  <si>
    <t>Thu, 02 Sep 2021 00:00:00 GMT</t>
  </si>
  <si>
    <t>Wed, 01 Sep 2021 00:00:00 GMT</t>
  </si>
  <si>
    <t>Tue, 31 Aug 2021 00:00:00 GMT</t>
  </si>
  <si>
    <t>Mon, 30 Aug 2021 00:00:00 GMT</t>
  </si>
  <si>
    <t>Fri, 27 Aug 2021 00:00:00 GMT</t>
  </si>
  <si>
    <t>Thu, 26 Aug 2021 00:00:00 GMT</t>
  </si>
  <si>
    <t>Wed, 25 Aug 2021 00:00:00 GMT</t>
  </si>
  <si>
    <t>Tue, 24 Aug 2021 00:00:00 GMT</t>
  </si>
  <si>
    <t>Mon, 23 Aug 2021 00:00:00 GMT</t>
  </si>
  <si>
    <t>Fri, 20 Aug 2021 00:00:00 GMT</t>
  </si>
  <si>
    <t>Thu, 19 Aug 2021 00:00:00 GMT</t>
  </si>
  <si>
    <t>Wed, 18 Aug 2021 00:00:00 GMT</t>
  </si>
  <si>
    <t>Tue, 17 Aug 2021 00:00:00 GMT</t>
  </si>
  <si>
    <t>Mon, 16 Aug 2021 00:00:00 GMT</t>
  </si>
  <si>
    <t>Fri, 13 Aug 2021 00:00:00 GMT</t>
  </si>
  <si>
    <t>Thu, 12 Aug 2021 00:00:00 GMT</t>
  </si>
  <si>
    <t>Wed, 11 Aug 2021 00:00:00 GMT</t>
  </si>
  <si>
    <t>Tue, 10 Aug 2021 00:00:00 GMT</t>
  </si>
  <si>
    <t>Mon, 09 Aug 2021 00:00:00 GMT</t>
  </si>
  <si>
    <t>Fri, 06 Aug 2021 00:00:00 GMT</t>
  </si>
  <si>
    <t>Thu, 05 Aug 2021 00:00:00 GMT</t>
  </si>
  <si>
    <t>Wed, 04 Aug 2021 00:00:00 GMT</t>
  </si>
  <si>
    <t>Tue, 03 Aug 2021 00:00:00 GMT</t>
  </si>
  <si>
    <t>Mon, 02 Aug 2021 00:00:00 GMT</t>
  </si>
  <si>
    <t>Fri, 30 Jul 2021 00:00:00 GMT</t>
  </si>
  <si>
    <t>Thu, 29 Jul 2021 00:00:00 GMT</t>
  </si>
  <si>
    <t>Wed, 28 Jul 2021 00:00:00 GMT</t>
  </si>
  <si>
    <t>Tue, 27 Jul 2021 00:00:00 GMT</t>
  </si>
  <si>
    <t>Mon, 26 Jul 2021 00:00:00 GMT</t>
  </si>
  <si>
    <t>Fri, 23 Jul 2021 00:00:00 GMT</t>
  </si>
  <si>
    <t>Thu, 22 Jul 2021 00:00:00 GMT</t>
  </si>
  <si>
    <t>Wed, 21 Jul 2021 00:00:00 GMT</t>
  </si>
  <si>
    <t>Tue, 20 Jul 2021 00:00:00 GMT</t>
  </si>
  <si>
    <t>Mon, 19 Jul 2021 00:00:00 GMT</t>
  </si>
  <si>
    <t>Fri, 16 Jul 2021 00:00:00 GMT</t>
  </si>
  <si>
    <t>Thu, 15 Jul 2021 00:00:00 GMT</t>
  </si>
  <si>
    <t>Wed, 14 Jul 2021 00:00:00 GMT</t>
  </si>
  <si>
    <t>Tue, 13 Jul 2021 00:00:00 GMT</t>
  </si>
  <si>
    <t>Mon, 12 Jul 2021 00:00:00 GMT</t>
  </si>
  <si>
    <t>Fri, 09 Jul 2021 00:00:00 GMT</t>
  </si>
  <si>
    <t>Thu, 08 Jul 2021 00:00:00 GMT</t>
  </si>
  <si>
    <t>Wed, 07 Jul 2021 00:00:00 GMT</t>
  </si>
  <si>
    <t>Tue, 06 Jul 2021 00:00:00 GMT</t>
  </si>
  <si>
    <t>Fri, 02 Jul 2021 00:00:00 GMT</t>
  </si>
  <si>
    <t>Thu, 01 Jul 2021 00:00:00 GMT</t>
  </si>
  <si>
    <t>Wed, 30 Jun 2021 00:00:00 GMT</t>
  </si>
  <si>
    <t>Tue, 29 Jun 2021 00:00:00 GMT</t>
  </si>
  <si>
    <t>Mon, 28 Jun 2021 00:00:00 GMT</t>
  </si>
  <si>
    <t>Fri, 25 Jun 2021 00:00:00 GMT</t>
  </si>
  <si>
    <t>Thu, 24 Jun 2021 00:00:00 GMT</t>
  </si>
  <si>
    <t>Wed, 23 Jun 2021 00:00:00 GMT</t>
  </si>
  <si>
    <t>Tue, 22 Jun 2021 00:00:00 GMT</t>
  </si>
  <si>
    <t>Mon, 21 Jun 2021 00:00:00 GMT</t>
  </si>
  <si>
    <t>Fri, 18 Jun 2021 00:00:00 GMT</t>
  </si>
  <si>
    <t>Thu, 17 Jun 2021 00:00:00 GMT</t>
  </si>
  <si>
    <t>Wed, 16 Jun 2021 00:00:00 GMT</t>
  </si>
  <si>
    <t>Tue, 15 Jun 2021 00:00:00 GMT</t>
  </si>
  <si>
    <t>Mon, 14 Jun 2021 00:00:00 GMT</t>
  </si>
  <si>
    <t>Fri, 11 Jun 2021 00:00:00 GMT</t>
  </si>
  <si>
    <t>Thu, 10 Jun 2021 00:00:00 GMT</t>
  </si>
  <si>
    <t>Wed, 09 Jun 2021 00:00:00 GMT</t>
  </si>
  <si>
    <t>Tue, 08 Jun 2021 00:00:00 GMT</t>
  </si>
  <si>
    <t>Mon, 07 Jun 2021 00:00:00 GMT</t>
  </si>
  <si>
    <t>Fri, 04 Jun 2021 00:00:00 GMT</t>
  </si>
  <si>
    <t>Thu, 03 Jun 2021 00:00:00 GMT</t>
  </si>
  <si>
    <t>Wed, 02 Jun 2021 00:00:00 GMT</t>
  </si>
  <si>
    <t>Tue, 01 Jun 2021 00:00:00 GMT</t>
  </si>
  <si>
    <t>Fri, 28 May 2021 00:00:00 GMT</t>
  </si>
  <si>
    <t>Thu, 27 May 2021 00:00:00 GMT</t>
  </si>
  <si>
    <t>Wed, 26 May 2021 00:00:00 GMT</t>
  </si>
  <si>
    <t>Tue, 25 May 2021 00:00:00 GMT</t>
  </si>
  <si>
    <t>Mon, 24 May 2021 00:00:00 GMT</t>
  </si>
  <si>
    <t>Fri, 21 May 2021 00:00:00 GMT</t>
  </si>
  <si>
    <t>Thu, 20 May 2021 00:00:00 GMT</t>
  </si>
  <si>
    <t>Wed, 19 May 2021 00:00:00 GMT</t>
  </si>
  <si>
    <t>Tue, 18 May 2021 00:00:00 GMT</t>
  </si>
  <si>
    <t>Mon, 17 May 2021 00:00:00 GMT</t>
  </si>
  <si>
    <t>Fri, 14 May 2021 00:00:00 GMT</t>
  </si>
  <si>
    <t>Thu, 13 May 2021 00:00:00 GMT</t>
  </si>
  <si>
    <t>Wed, 12 May 2021 00:00:00 GMT</t>
  </si>
  <si>
    <t>Tue, 11 May 2021 00:00:00 GMT</t>
  </si>
  <si>
    <t>Mon, 10 May 2021 00:00:00 GMT</t>
  </si>
  <si>
    <t>Fri, 07 May 2021 00:00:00 GMT</t>
  </si>
  <si>
    <t>Thu, 06 May 2021 00:00:00 GMT</t>
  </si>
  <si>
    <t>Wed, 05 May 2021 00:00:00 GMT</t>
  </si>
  <si>
    <t>Tue, 04 May 2021 00:00:00 GMT</t>
  </si>
  <si>
    <t>Mon, 03 May 2021 00:00:00 GMT</t>
  </si>
  <si>
    <t>Fri, 30 Apr 2021 00:00:00 GMT</t>
  </si>
  <si>
    <t>Thu, 29 Apr 2021 00:00:00 GMT</t>
  </si>
  <si>
    <t>Wed, 28 Apr 2021 00:00:00 GMT</t>
  </si>
  <si>
    <t>Tue, 27 Apr 2021 00:00:00 GMT</t>
  </si>
  <si>
    <t>Mon, 26 Apr 2021 00:00:00 GMT</t>
  </si>
  <si>
    <t>Fri, 23 Apr 2021 00:00:00 GMT</t>
  </si>
  <si>
    <t>Thu, 22 Apr 2021 00:00:00 GMT</t>
  </si>
  <si>
    <t>Wed, 21 Apr 2021 00:00:00 GMT</t>
  </si>
  <si>
    <t>Tue, 20 Apr 2021 00:00:00 GMT</t>
  </si>
  <si>
    <t>Mon, 19 Apr 2021 00:00:00 GMT</t>
  </si>
  <si>
    <t>Fri, 16 Apr 2021 00:00:00 GMT</t>
  </si>
  <si>
    <t>Thu, 15 Apr 2021 00:00:00 GMT</t>
  </si>
  <si>
    <t>Wed, 14 Apr 2021 00:00:00 GMT</t>
  </si>
  <si>
    <t>Tue, 13 Apr 2021 00:00:00 GMT</t>
  </si>
  <si>
    <t>Mon, 12 Apr 2021 00:00:00 GMT</t>
  </si>
  <si>
    <t>Fri, 09 Apr 2021 00:00:00 GMT</t>
  </si>
  <si>
    <t>Thu, 08 Apr 2021 00:00:00 GMT</t>
  </si>
  <si>
    <t>Wed, 07 Apr 2021 00:00:00 GMT</t>
  </si>
  <si>
    <t>Tue, 06 Apr 2021 00:00:00 GMT</t>
  </si>
  <si>
    <t>Mon, 05 Apr 2021 00:00:00 GMT</t>
  </si>
  <si>
    <t>Thu, 01 Apr 2021 00:00:00 GMT</t>
  </si>
  <si>
    <t>Wed, 31 Mar 2021 00:00:00 GMT</t>
  </si>
  <si>
    <t>Tue, 30 Mar 2021 00:00:00 GMT</t>
  </si>
  <si>
    <t>Mon, 29 Mar 2021 00:00:00 GMT</t>
  </si>
  <si>
    <t>Fri, 26 Mar 2021 00:00:00 GMT</t>
  </si>
  <si>
    <t>Thu, 25 Mar 2021 00:00:00 GMT</t>
  </si>
  <si>
    <t>Wed, 24 Mar 2021 00:00:00 GMT</t>
  </si>
  <si>
    <t>Tue, 23 Mar 2021 00:00:00 GMT</t>
  </si>
  <si>
    <t>Mon, 22 Mar 2021 00:00:00 GMT</t>
  </si>
  <si>
    <t>Fri, 19 Mar 2021 00:00:00 GMT</t>
  </si>
  <si>
    <t>Thu, 18 Mar 2021 00:00:00 GMT</t>
  </si>
  <si>
    <t>Wed, 17 Mar 2021 00:00:00 GMT</t>
  </si>
  <si>
    <t>Tue, 16 Mar 2021 00:00:00 GMT</t>
  </si>
  <si>
    <t>Mon, 15 Mar 2021 00:00:00 GMT</t>
  </si>
  <si>
    <t>Fri, 12 Mar 2021 00:00:00 GMT</t>
  </si>
  <si>
    <t>Thu, 11 Mar 2021 00:00:00 GMT</t>
  </si>
  <si>
    <t>Wed, 10 Mar 2021 00:00:00 GMT</t>
  </si>
  <si>
    <t>Tue, 09 Mar 2021 00:00:00 GMT</t>
  </si>
  <si>
    <t>Mon, 08 Mar 2021 00:00:00 GMT</t>
  </si>
  <si>
    <t>Fri, 05 Mar 2021 00:00:00 GMT</t>
  </si>
  <si>
    <t>Thu, 04 Mar 2021 00:00:00 GMT</t>
  </si>
  <si>
    <t>Wed, 03 Mar 2021 00:00:00 GMT</t>
  </si>
  <si>
    <t>Tue, 02 Mar 2021 00:00:00 GMT</t>
  </si>
  <si>
    <t>Mon, 01 Mar 2021 00:00:00 GMT</t>
  </si>
  <si>
    <t>Fri, 26 Feb 2021 00:00:00 GMT</t>
  </si>
  <si>
    <t>Thu, 25 Feb 2021 00:00:00 GMT</t>
  </si>
  <si>
    <t>Wed, 24 Feb 2021 00:00:00 GMT</t>
  </si>
  <si>
    <t>Tue, 23 Feb 2021 00:00:00 GMT</t>
  </si>
  <si>
    <t>Mon, 22 Feb 2021 00:00:00 GMT</t>
  </si>
  <si>
    <t>Fri, 19 Feb 2021 00:00:00 GMT</t>
  </si>
  <si>
    <t>Thu, 18 Feb 2021 00:00:00 GMT</t>
  </si>
  <si>
    <t>Wed, 17 Feb 2021 00:00:00 GMT</t>
  </si>
  <si>
    <t>Tue, 16 Feb 2021 00:00:00 GMT</t>
  </si>
  <si>
    <t>Fri, 12 Feb 2021 00:00:00 GMT</t>
  </si>
  <si>
    <t>Thu, 11 Feb 2021 00:00:00 GMT</t>
  </si>
  <si>
    <t>Wed, 10 Feb 2021 00:00:00 GMT</t>
  </si>
  <si>
    <t>Tue, 09 Feb 2021 00:00:00 GMT</t>
  </si>
  <si>
    <t>Mon, 08 Feb 2021 00:00:00 GMT</t>
  </si>
  <si>
    <t>Fri, 05 Feb 2021 00:00:00 GMT</t>
  </si>
  <si>
    <t>Thu, 04 Feb 2021 00:00:00 GMT</t>
  </si>
  <si>
    <t>Wed, 03 Feb 2021 00:00:00 GMT</t>
  </si>
  <si>
    <t>Tue, 02 Feb 2021 00:00:00 GMT</t>
  </si>
  <si>
    <t>Mon, 01 Feb 2021 00:00:00 GMT</t>
  </si>
  <si>
    <t>Fri, 29 Jan 2021 00:00:00 GMT</t>
  </si>
  <si>
    <t>Thu, 28 Jan 2021 00:00:00 GMT</t>
  </si>
  <si>
    <t>Wed, 27 Jan 2021 00:00:00 GMT</t>
  </si>
  <si>
    <t>Tue, 26 Jan 2021 00:00:00 GMT</t>
  </si>
  <si>
    <t>Mon, 25 Jan 2021 00:00:00 GMT</t>
  </si>
  <si>
    <t>Fri, 22 Jan 2021 00:00:00 GMT</t>
  </si>
  <si>
    <t>Thu, 21 Jan 2021 00:00:00 GMT</t>
  </si>
  <si>
    <t>Wed, 20 Jan 2021 00:00:00 GMT</t>
  </si>
  <si>
    <t>Tue, 19 Jan 2021 00:00:00 GMT</t>
  </si>
  <si>
    <t>Fri, 15 Jan 2021 00:00:00 GMT</t>
  </si>
  <si>
    <t>Thu, 14 Jan 2021 00:00:00 GMT</t>
  </si>
  <si>
    <t>Wed, 13 Jan 2021 00:00:00 GMT</t>
  </si>
  <si>
    <t>Tue, 12 Jan 2021 00:00:00 GMT</t>
  </si>
  <si>
    <t>Mon, 11 Jan 2021 00:00:00 GMT</t>
  </si>
  <si>
    <t>Fri, 08 Jan 2021 00:00:00 GMT</t>
  </si>
  <si>
    <t>Thu, 07 Jan 2021 00:00:00 GMT</t>
  </si>
  <si>
    <t>Wed, 06 Jan 2021 00:00:00 GMT</t>
  </si>
  <si>
    <t>Tue, 05 Jan 2021 00:00:00 GMT</t>
  </si>
  <si>
    <t>Mon, 04 Jan 2021 00:00:00 GMT</t>
  </si>
  <si>
    <t>Thu, 31 Dec 2020 00:00:00 GMT</t>
  </si>
  <si>
    <t>Wed, 30 Dec 2020 00:00:00 GMT</t>
  </si>
  <si>
    <t>Tue, 29 Dec 2020 00:00:00 GMT</t>
  </si>
  <si>
    <t>Mon, 28 Dec 2020 00:00:00 GMT</t>
  </si>
  <si>
    <t>Thu, 24 Dec 2020 00:00:00 GMT</t>
  </si>
  <si>
    <t>Wed, 23 Dec 2020 00:00:00 GMT</t>
  </si>
  <si>
    <t>Tue, 22 Dec 2020 00:00:00 GMT</t>
  </si>
  <si>
    <t>Mon, 21 Dec 2020 00:00:00 GMT</t>
  </si>
  <si>
    <t>Fri, 18 Dec 2020 00:00:00 GMT</t>
  </si>
  <si>
    <t>Thu, 17 Dec 2020 00:00:00 GMT</t>
  </si>
  <si>
    <t>Wed, 16 Dec 2020 00:00:00 GMT</t>
  </si>
  <si>
    <t>Tue, 15 Dec 2020 00:00:00 GMT</t>
  </si>
  <si>
    <t>Mon, 14 Dec 2020 00:00:00 GMT</t>
  </si>
  <si>
    <t>Fri, 11 Dec 2020 00:00:00 GMT</t>
  </si>
  <si>
    <t>Thu, 10 Dec 2020 00:00:00 GMT</t>
  </si>
  <si>
    <t>Wed, 09 Dec 2020 00:00:00 GMT</t>
  </si>
  <si>
    <t>Tue, 08 Dec 2020 00:00:00 GMT</t>
  </si>
  <si>
    <t>Mon, 07 Dec 2020 00:00:00 GMT</t>
  </si>
  <si>
    <t>Fri, 04 Dec 2020 00:00:00 GMT</t>
  </si>
  <si>
    <t>Thu, 03 Dec 2020 00:00:00 GMT</t>
  </si>
  <si>
    <t>Wed, 02 Dec 2020 00:00:00 GMT</t>
  </si>
  <si>
    <t>Tue, 01 Dec 2020 00:00:00 GMT</t>
  </si>
  <si>
    <t>Mon, 30 Nov 2020 00:00:00 GMT</t>
  </si>
  <si>
    <t>Fri, 27 Nov 2020 00:00:00 GMT</t>
  </si>
  <si>
    <t>Wed, 25 Nov 2020 00:00:00 GMT</t>
  </si>
  <si>
    <t>Tue, 24 Nov 2020 00:00:00 GMT</t>
  </si>
  <si>
    <t>Mon, 23 Nov 2020 00:00:00 GMT</t>
  </si>
  <si>
    <t>Fri, 20 Nov 2020 00:00:00 GMT</t>
  </si>
  <si>
    <t>Thu, 19 Nov 2020 00:00:00 GMT</t>
  </si>
  <si>
    <t>Wed, 18 Nov 2020 00:00:00 GMT</t>
  </si>
  <si>
    <t>Tue, 17 Nov 2020 00:00:00 GMT</t>
  </si>
  <si>
    <t>Mon, 16 Nov 2020 00:00:00 GMT</t>
  </si>
  <si>
    <t>Fri, 13 Nov 2020 00:00:00 GMT</t>
  </si>
  <si>
    <t>Thu, 12 Nov 2020 00:00:00 GMT</t>
  </si>
  <si>
    <t>Wed, 11 Nov 2020 00:00:00 GMT</t>
  </si>
  <si>
    <t>Tue, 10 Nov 2020 00:00:00 GMT</t>
  </si>
  <si>
    <t>Mon, 09 Nov 2020 00:00:00 GMT</t>
  </si>
  <si>
    <t>Fri, 06 Nov 2020 00:00:00 GMT</t>
  </si>
  <si>
    <t>Thu, 05 Nov 2020 00:00:00 GMT</t>
  </si>
  <si>
    <t>Wed, 04 Nov 2020 00:00:00 GMT</t>
  </si>
  <si>
    <t>Tue, 03 Nov 2020 00:00:00 GMT</t>
  </si>
  <si>
    <t>Mon, 02 Nov 2020 00:00:00 GMT</t>
  </si>
  <si>
    <t>Fri, 30 Oct 2020 00:00:00 GMT</t>
  </si>
  <si>
    <t>Thu, 29 Oct 2020 00:00:00 GMT</t>
  </si>
  <si>
    <t>Wed, 28 Oct 2020 00:00:00 GMT</t>
  </si>
  <si>
    <t>Tue, 27 Oct 2020 00:00:00 GMT</t>
  </si>
  <si>
    <t>Mon, 26 Oct 2020 00:00:00 GMT</t>
  </si>
  <si>
    <t>Fri, 23 Oct 2020 00:00:00 GMT</t>
  </si>
  <si>
    <t>Thu, 22 Oct 2020 00:00:00 GMT</t>
  </si>
  <si>
    <t>Wed, 21 Oct 2020 00:00:00 GMT</t>
  </si>
  <si>
    <t>Tue, 20 Oct 2020 00:00:00 GMT</t>
  </si>
  <si>
    <t>Mon, 19 Oct 2020 00:00:00 GMT</t>
  </si>
  <si>
    <t>Fri, 16 Oct 2020 00:00:00 GMT</t>
  </si>
  <si>
    <t>Thu, 15 Oct 2020 00:00:00 GMT</t>
  </si>
  <si>
    <t>Wed, 14 Oct 2020 00:00:00 GMT</t>
  </si>
  <si>
    <t>Tue, 13 Oct 2020 00:00:00 GMT</t>
  </si>
  <si>
    <t>Mon, 12 Oct 2020 00:00:00 GMT</t>
  </si>
  <si>
    <t>Fri, 09 Oct 2020 00:00:00 GMT</t>
  </si>
  <si>
    <t>Thu, 08 Oct 2020 00:00:00 GMT</t>
  </si>
  <si>
    <t>Wed, 07 Oct 2020 00:00:00 GMT</t>
  </si>
  <si>
    <t>Tue, 06 Oct 2020 00:00:00 GMT</t>
  </si>
  <si>
    <t>Mon, 05 Oct 2020 00:00:00 GMT</t>
  </si>
  <si>
    <t>Fri, 02 Oct 2020 00:00:00 GMT</t>
  </si>
  <si>
    <t>Thu, 01 Oct 2020 00:00:00 GMT</t>
  </si>
  <si>
    <t>Wed, 30 Sep 2020 00:00:00 GMT</t>
  </si>
  <si>
    <t>Tue, 29 Sep 2020 00:00:00 GMT</t>
  </si>
  <si>
    <t>Mon, 28 Sep 2020 00:00:00 GMT</t>
  </si>
  <si>
    <t>Fri, 25 Sep 2020 00:00:00 GMT</t>
  </si>
  <si>
    <t>Thu, 24 Sep 2020 00:00:00 GMT</t>
  </si>
  <si>
    <t>Wed, 23 Sep 2020 00:00:00 GMT</t>
  </si>
  <si>
    <t>Tue, 22 Sep 2020 00:00:00 GMT</t>
  </si>
  <si>
    <t>Mon, 21 Sep 2020 00:00:00 GMT</t>
  </si>
  <si>
    <t>Fri, 18 Sep 2020 00:00:00 GMT</t>
  </si>
  <si>
    <t>Thu, 17 Sep 2020 00:00:00 GMT</t>
  </si>
  <si>
    <t>Wed, 16 Sep 2020 00:00:00 GMT</t>
  </si>
  <si>
    <t>Tue, 15 Sep 2020 00:00:00 GMT</t>
  </si>
  <si>
    <t>Mon, 14 Sep 2020 00:00:00 GMT</t>
  </si>
  <si>
    <t>Fri, 11 Sep 2020 00:00:00 GMT</t>
  </si>
  <si>
    <t>Thu, 10 Sep 2020 00:00:00 GMT</t>
  </si>
  <si>
    <t>Wed, 09 Sep 2020 00:00:00 GMT</t>
  </si>
  <si>
    <t>Tue, 08 Sep 2020 00:00:00 GMT</t>
  </si>
  <si>
    <t>Fri, 04 Sep 2020 00:00:00 GMT</t>
  </si>
  <si>
    <t>Thu, 03 Sep 2020 00:00:00 GMT</t>
  </si>
  <si>
    <t>Wed, 02 Sep 2020 00:00:00 GMT</t>
  </si>
  <si>
    <t>Tue, 01 Sep 2020 00:00:00 GMT</t>
  </si>
  <si>
    <t>Mon, 31 Aug 2020 00:00:00 GMT</t>
  </si>
  <si>
    <t>Fri, 28 Aug 2020 00:00:00 GMT</t>
  </si>
  <si>
    <t>Thu, 27 Aug 2020 00:00:00 GMT</t>
  </si>
  <si>
    <t>Wed, 26 Aug 2020 00:00:00 GMT</t>
  </si>
  <si>
    <t>Tue, 25 Aug 2020 00:00:00 GMT</t>
  </si>
  <si>
    <t>Mon, 24 Aug 2020 00:00:00 GMT</t>
  </si>
  <si>
    <t>Fri, 21 Aug 2020 00:00:00 GMT</t>
  </si>
  <si>
    <t>Thu, 20 Aug 2020 00:00:00 GMT</t>
  </si>
  <si>
    <t>Wed, 19 Aug 2020 00:00:00 GMT</t>
  </si>
  <si>
    <t>Tue, 18 Aug 2020 00:00:00 GMT</t>
  </si>
  <si>
    <t>Mon, 17 Aug 2020 00:00:00 GMT</t>
  </si>
  <si>
    <t>Fri, 14 Aug 2020 00:00:00 GMT</t>
  </si>
  <si>
    <t>Thu, 13 Aug 2020 00:00:00 GMT</t>
  </si>
  <si>
    <t>Wed, 12 Aug 2020 00:00:00 GMT</t>
  </si>
  <si>
    <t>Tue, 11 Aug 2020 00:00:00 GMT</t>
  </si>
  <si>
    <t>Mon, 10 Aug 2020 00:00:00 GMT</t>
  </si>
  <si>
    <t>Fri, 07 Aug 2020 00:00:00 GMT</t>
  </si>
  <si>
    <t>Thu, 06 Aug 2020 00:00:00 GMT</t>
  </si>
  <si>
    <t>Wed, 05 Aug 2020 00:00:00 GMT</t>
  </si>
  <si>
    <t>Tue, 04 Aug 2020 00:00:00 GMT</t>
  </si>
  <si>
    <t>Mon, 03 Aug 2020 00:00:00 GMT</t>
  </si>
  <si>
    <t>Fri, 31 Jul 2020 00:00:00 GMT</t>
  </si>
  <si>
    <t>Thu, 30 Jul 2020 00:00:00 GMT</t>
  </si>
  <si>
    <t>Wed, 29 Jul 2020 00:00:00 GMT</t>
  </si>
  <si>
    <t>Tue, 28 Jul 2020 00:00:00 GMT</t>
  </si>
  <si>
    <t>Mon, 27 Jul 2020 00:00:00 GMT</t>
  </si>
  <si>
    <t>Fri, 24 Jul 2020 00:00:00 GMT</t>
  </si>
  <si>
    <t>Thu, 23 Jul 2020 00:00:00 GMT</t>
  </si>
  <si>
    <t>Wed, 22 Jul 2020 00:00:00 GMT</t>
  </si>
  <si>
    <t>Tue, 21 Jul 2020 00:00:00 GMT</t>
  </si>
  <si>
    <t>Mon, 20 Jul 2020 00:00:00 GMT</t>
  </si>
  <si>
    <t>Fri, 17 Jul 2020 00:00:00 GMT</t>
  </si>
  <si>
    <t>Thu, 16 Jul 2020 00:00:00 GMT</t>
  </si>
  <si>
    <t>Wed, 15 Jul 2020 00:00:00 GMT</t>
  </si>
  <si>
    <t>Tue, 14 Jul 2020 00:00:00 GMT</t>
  </si>
  <si>
    <t>Mon, 13 Jul 2020 00:00:00 GMT</t>
  </si>
  <si>
    <t>Fri, 10 Jul 2020 00:00:00 GMT</t>
  </si>
  <si>
    <t>Thu, 09 Jul 2020 00:00:00 GMT</t>
  </si>
  <si>
    <t>Wed, 08 Jul 2020 00:00:00 GMT</t>
  </si>
  <si>
    <t>Tue, 07 Jul 2020 00:00:00 GMT</t>
  </si>
  <si>
    <t>Mon, 06 Jul 2020 00:00:00 GMT</t>
  </si>
  <si>
    <t>Thu, 02 Jul 2020 00:00:00 GMT</t>
  </si>
  <si>
    <t>Wed, 01 Jul 2020 00:00:00 GMT</t>
  </si>
  <si>
    <t>Tue, 30 Jun 2020 00:00:00 GMT</t>
  </si>
  <si>
    <t>Mon, 29 Jun 2020 00:00:00 GMT</t>
  </si>
  <si>
    <t>Fri, 26 Jun 2020 00:00:00 GMT</t>
  </si>
  <si>
    <t>Thu, 25 Jun 2020 00:00:00 GMT</t>
  </si>
  <si>
    <t>Wed, 24 Jun 2020 00:00:00 GMT</t>
  </si>
  <si>
    <t>Tue, 23 Jun 2020 00:00:00 GMT</t>
  </si>
  <si>
    <t>Mon, 22 Jun 2020 00:00:00 GMT</t>
  </si>
  <si>
    <t>Fri, 19 Jun 2020 00:00:00 GMT</t>
  </si>
  <si>
    <t>Thu, 18 Jun 2020 00:00:00 GMT</t>
  </si>
  <si>
    <t>Wed, 17 Jun 2020 00:00:00 GMT</t>
  </si>
  <si>
    <t>Tue, 16 Jun 2020 00:00:00 GMT</t>
  </si>
  <si>
    <t>Mon, 15 Jun 2020 00:00:00 GMT</t>
  </si>
  <si>
    <t>Fri, 12 Jun 2020 00:00:00 GMT</t>
  </si>
  <si>
    <t>1256 Trading Days (From: 5/11/2020-5/11/2025)</t>
  </si>
  <si>
    <t>Including installation, repair, maintenance, 24/7 technical support, and proactive system health monitoring</t>
  </si>
  <si>
    <t>Integrated digital capabilities providing connected offerings, streamlining performance for hospitals with program-enhancing insights</t>
  </si>
  <si>
    <t>Intuitive Surgical, Inc. was incorporated in 1995 and is headquartered in Sunnyvale, California</t>
  </si>
  <si>
    <t>Instruments &amp; Accessories</t>
  </si>
  <si>
    <t>Systems</t>
  </si>
  <si>
    <t>Services</t>
  </si>
  <si>
    <t>Instruments &amp; Accessories Growth Y/y</t>
  </si>
  <si>
    <t>Systems Growth Y/y</t>
  </si>
  <si>
    <t>Services Growth Y/y</t>
  </si>
  <si>
    <t>Ttl Revenue Growth Y/y</t>
  </si>
  <si>
    <t>Instrument &amp; Acc. % of Ttl Revenues</t>
  </si>
  <si>
    <t>Services % of Ttl Revenues</t>
  </si>
  <si>
    <t>Systems % of Ttl Revenues</t>
  </si>
  <si>
    <t>SG&amp;A</t>
  </si>
  <si>
    <t>R&amp;D</t>
  </si>
  <si>
    <t>Operating Income</t>
  </si>
  <si>
    <t>Interest Income</t>
  </si>
  <si>
    <t>Pretax Income</t>
  </si>
  <si>
    <t>Taxes</t>
  </si>
  <si>
    <t>EPS</t>
  </si>
  <si>
    <t>A/R</t>
  </si>
  <si>
    <t>Inventories</t>
  </si>
  <si>
    <t>Prepaid Expenses</t>
  </si>
  <si>
    <t>PP&amp;E</t>
  </si>
  <si>
    <t>LT Investments</t>
  </si>
  <si>
    <t>Deferred Tax Assets</t>
  </si>
  <si>
    <t>Intangible &amp; Other Assets</t>
  </si>
  <si>
    <t>Ttl Assets</t>
  </si>
  <si>
    <t>A/P</t>
  </si>
  <si>
    <t>Accrued Compensation</t>
  </si>
  <si>
    <t>Deffered Revenues</t>
  </si>
  <si>
    <t>Other ST Liabilities</t>
  </si>
  <si>
    <t>LT Liabilities</t>
  </si>
  <si>
    <t>Ttl Liabilities</t>
  </si>
  <si>
    <t>SE</t>
  </si>
  <si>
    <t>Ttl L + SE</t>
  </si>
  <si>
    <t>Founder(s): Frederic Moll, John Freund, and Robert Younge</t>
  </si>
  <si>
    <t>COGS</t>
  </si>
  <si>
    <t>Less: Joint Venture</t>
  </si>
  <si>
    <t xml:space="preserve">Attributable Income </t>
  </si>
  <si>
    <t>Current CEO: David Rosa (Succeeding Gary Guthart who stepped back into Chairman role July 1st, 2025)</t>
  </si>
  <si>
    <t>https://www.intuitive.com/en-gb/-/media/ISI/Intuitive/Pdf/intuitive-company-press-facts-europe-1096203.pdf</t>
  </si>
  <si>
    <t>The Company sells its products through direct sales organizations, such as capital and clinical sales teams</t>
  </si>
  <si>
    <t xml:space="preserve">Revenue Breakdown by Segment </t>
  </si>
  <si>
    <t>More</t>
  </si>
  <si>
    <t xml:space="preserve">[ISRG] Historical Return Histogram (8/3/2025) </t>
  </si>
  <si>
    <r>
      <t xml:space="preserve">The Company offers the </t>
    </r>
    <r>
      <rPr>
        <b/>
        <sz val="11"/>
        <color theme="1"/>
        <rFont val="Calibre"/>
      </rPr>
      <t xml:space="preserve">Da Vinci Surgical System </t>
    </r>
    <r>
      <rPr>
        <sz val="11"/>
        <color theme="1"/>
        <rFont val="Calibre"/>
      </rPr>
      <t>that enables surgical procedures using a minimally invasive approach; and Ion endoluminal system, which extends its commercial offerings beyond surgery into diagnostic endoluminal procedures enabling minimally invasive biopsies in the lung</t>
    </r>
  </si>
  <si>
    <t>Projected ROIC:</t>
  </si>
  <si>
    <t>Invested Capital</t>
  </si>
  <si>
    <t>ROIC</t>
  </si>
  <si>
    <t>2023-2024</t>
  </si>
  <si>
    <t>Terminal</t>
  </si>
  <si>
    <t>RFR (10-year yield)</t>
  </si>
  <si>
    <t>ERP 
(Avg. market return - (less) RFR)</t>
  </si>
  <si>
    <t>Equity β (1-year avg.)</t>
  </si>
  <si>
    <t>Discount (Cost of Equity)</t>
  </si>
  <si>
    <t>NPV</t>
  </si>
  <si>
    <t>FV</t>
  </si>
  <si>
    <t>CP</t>
  </si>
  <si>
    <t>Change Δ</t>
  </si>
  <si>
    <t>In Q2'25 Dr. Gary Guthart stepped down as CEO after 15 years of service… He announced he will now be serving as chairman of the board ... David Rosa is taking on the CEO role</t>
  </si>
  <si>
    <t>ROIC, WACC</t>
  </si>
  <si>
    <t>MacroTrends</t>
  </si>
  <si>
    <t>https://www.macrotrends.net/stocks/charts/ISRG/intuitive-surgical/cash-flow-statement?freq=Q</t>
  </si>
  <si>
    <t>https://www.gurufocus.com/term/wacc/ISRG</t>
  </si>
  <si>
    <t>Master</t>
  </si>
  <si>
    <t>Fiscal Year: [January - December]</t>
  </si>
  <si>
    <t>Financial Stmts. Notes/Observations</t>
  </si>
  <si>
    <t>They did surgery on a grape</t>
  </si>
  <si>
    <r>
      <rPr>
        <b/>
        <sz val="11"/>
        <color rgb="FF0070C0"/>
        <rFont val="Calibre"/>
      </rPr>
      <t>Avg.</t>
    </r>
    <r>
      <rPr>
        <sz val="11"/>
        <color rgb="FF0070C0"/>
        <rFont val="Calibre"/>
      </rPr>
      <t xml:space="preserve"> (2023-2024)</t>
    </r>
  </si>
  <si>
    <t>Capital Structure</t>
  </si>
  <si>
    <t>Mkt Cap</t>
  </si>
  <si>
    <t>Debt to Ttl Mkt Cap</t>
  </si>
  <si>
    <t>Mkt Equity to Ttl Mkt Cap</t>
  </si>
  <si>
    <t>Debt / Equity</t>
  </si>
  <si>
    <t>Cost of Equity</t>
  </si>
  <si>
    <t>Market Return(1-year avg.)</t>
  </si>
  <si>
    <t xml:space="preserve">Cost of Equity </t>
  </si>
  <si>
    <t>Cost of Debt</t>
  </si>
  <si>
    <t>Tax Rate</t>
  </si>
  <si>
    <t>After Tax Cost of Debt</t>
  </si>
  <si>
    <t>WACC</t>
  </si>
  <si>
    <t>VOO Historical Returns</t>
  </si>
  <si>
    <r>
      <rPr>
        <i/>
        <sz val="11"/>
        <color theme="1"/>
        <rFont val="Calibre"/>
      </rPr>
      <t>1004</t>
    </r>
    <r>
      <rPr>
        <sz val="11"/>
        <color theme="1"/>
        <rFont val="Calibre"/>
      </rPr>
      <t xml:space="preserve"> Trading Days? (From: </t>
    </r>
    <r>
      <rPr>
        <i/>
        <sz val="11"/>
        <color theme="1"/>
        <rFont val="Calibre"/>
      </rPr>
      <t>4/30/21 - 4/29/25</t>
    </r>
    <r>
      <rPr>
        <sz val="11"/>
        <color theme="1"/>
        <rFont val="Calibre"/>
      </rPr>
      <t>)</t>
    </r>
  </si>
  <si>
    <t>Fri, 13 Feb 2026 00:00:00 GMT</t>
  </si>
  <si>
    <t>Thu, 12 Feb 2026 00:00:00 GMT</t>
  </si>
  <si>
    <t>Wed, 11 Feb 2026 00:00:00 GMT</t>
  </si>
  <si>
    <t>Tue, 10 Feb 2026 00:00:00 GMT</t>
  </si>
  <si>
    <t>Mon, 09 Feb 2026 00:00:00 GMT</t>
  </si>
  <si>
    <t>Fri, 06 Feb 2026 00:00:00 GMT</t>
  </si>
  <si>
    <t>Thu, 05 Feb 2026 00:00:00 GMT</t>
  </si>
  <si>
    <t>Wed, 04 Feb 2026 00:00:00 GMT</t>
  </si>
  <si>
    <t>Tue, 03 Feb 2026 00:00:00 GMT</t>
  </si>
  <si>
    <t>Mon, 02 Feb 2026 00:00:00 GMT</t>
  </si>
  <si>
    <t>Fri, 30 Jan 2026 00:00:00 GMT</t>
  </si>
  <si>
    <t>Thu, 29 Jan 2026 00:00:00 GMT</t>
  </si>
  <si>
    <t>Wed, 28 Jan 2026 00:00:00 GMT</t>
  </si>
  <si>
    <t>Tue, 27 Jan 2026 00:00:00 GMT</t>
  </si>
  <si>
    <t>Mon, 26 Jan 2026 00:00:00 GMT</t>
  </si>
  <si>
    <t>Fri, 23 Jan 2026 00:00:00 GMT</t>
  </si>
  <si>
    <t>Thu, 22 Jan 2026 00:00:00 GMT</t>
  </si>
  <si>
    <t>Wed, 21 Jan 2026 00:00:00 GMT</t>
  </si>
  <si>
    <t>Tue, 20 Jan 2026 00:00:00 GMT</t>
  </si>
  <si>
    <t>Fri, 16 Jan 2026 00:00:00 GMT</t>
  </si>
  <si>
    <t>Thu, 15 Jan 2026 00:00:00 GMT</t>
  </si>
  <si>
    <t>Wed, 14 Jan 2026 00:00:00 GMT</t>
  </si>
  <si>
    <t>Tue, 13 Jan 2026 00:00:00 GMT</t>
  </si>
  <si>
    <t>Mon, 12 Jan 2026 00:00:00 GMT</t>
  </si>
  <si>
    <t>Fri, 09 Jan 2026 00:00:00 GMT</t>
  </si>
  <si>
    <t>Thu, 08 Jan 2026 00:00:00 GMT</t>
  </si>
  <si>
    <t>Wed, 07 Jan 2026 00:00:00 GMT</t>
  </si>
  <si>
    <t>Tue, 06 Jan 2026 00:00:00 GMT</t>
  </si>
  <si>
    <t>Mon, 05 Jan 2026 00:00:00 GMT</t>
  </si>
  <si>
    <t>Fri, 02 Jan 2026 00:00:00 GMT</t>
  </si>
  <si>
    <t>Wed, 31 Dec 2025 00:00:00 GMT</t>
  </si>
  <si>
    <t>Tue, 30 Dec 2025 00:00:00 GMT</t>
  </si>
  <si>
    <t>Mon, 29 Dec 2025 00:00:00 GMT</t>
  </si>
  <si>
    <t>Fri, 26 Dec 2025 00:00:00 GMT</t>
  </si>
  <si>
    <t>Wed, 24 Dec 2025 00:00:00 GMT</t>
  </si>
  <si>
    <t>Tue, 23 Dec 2025 00:00:00 GMT</t>
  </si>
  <si>
    <t>Mon, 22 Dec 2025 00:00:00 GMT</t>
  </si>
  <si>
    <t>Fri, 19 Dec 2025 00:00:00 GMT</t>
  </si>
  <si>
    <t>Thu, 18 Dec 2025 00:00:00 GMT</t>
  </si>
  <si>
    <t>Wed, 17 Dec 2025 00:00:00 GMT</t>
  </si>
  <si>
    <t>Tue, 16 Dec 2025 00:00:00 GMT</t>
  </si>
  <si>
    <t>Mon, 15 Dec 2025 00:00:00 GMT</t>
  </si>
  <si>
    <t>Fri, 12 Dec 2025 00:00:00 GMT</t>
  </si>
  <si>
    <t>Thu, 11 Dec 2025 00:00:00 GMT</t>
  </si>
  <si>
    <t>Wed, 10 Dec 2025 00:00:00 GMT</t>
  </si>
  <si>
    <t>Tue, 09 Dec 2025 00:00:00 GMT</t>
  </si>
  <si>
    <t>Mon, 08 Dec 2025 00:00:00 GMT</t>
  </si>
  <si>
    <t>Fri, 05 Dec 2025 00:00:00 GMT</t>
  </si>
  <si>
    <t>Thu, 04 Dec 2025 00:00:00 GMT</t>
  </si>
  <si>
    <t>Wed, 03 Dec 2025 00:00:00 GMT</t>
  </si>
  <si>
    <t>Tue, 02 Dec 2025 00:00:00 GMT</t>
  </si>
  <si>
    <t>Mon, 01 Dec 2025 00:00:00 GMT</t>
  </si>
  <si>
    <t>Fri, 28 Nov 2025 00:00:00 GMT</t>
  </si>
  <si>
    <t>Wed, 26 Nov 2025 00:00:00 GMT</t>
  </si>
  <si>
    <t>Tue, 25 Nov 2025 00:00:00 GMT</t>
  </si>
  <si>
    <t>Mon, 24 Nov 2025 00:00:00 GMT</t>
  </si>
  <si>
    <t>Fri, 21 Nov 2025 00:00:00 GMT</t>
  </si>
  <si>
    <t>Thu, 20 Nov 2025 00:00:00 GMT</t>
  </si>
  <si>
    <t>Wed, 19 Nov 2025 00:00:00 GMT</t>
  </si>
  <si>
    <t>Tue, 18 Nov 2025 00:00:00 GMT</t>
  </si>
  <si>
    <t>Mon, 17 Nov 2025 00:00:00 GMT</t>
  </si>
  <si>
    <t>Fri, 14 Nov 2025 00:00:00 GMT</t>
  </si>
  <si>
    <t>Thu, 13 Nov 2025 00:00:00 GMT</t>
  </si>
  <si>
    <t>Wed, 12 Nov 2025 00:00:00 GMT</t>
  </si>
  <si>
    <t>Tue, 11 Nov 2025 00:00:00 GMT</t>
  </si>
  <si>
    <t>Mon, 10 Nov 2025 00:00:00 GMT</t>
  </si>
  <si>
    <t>Fri, 07 Nov 2025 00:00:00 GMT</t>
  </si>
  <si>
    <t>Thu, 06 Nov 2025 00:00:00 GMT</t>
  </si>
  <si>
    <t>Wed, 05 Nov 2025 00:00:00 GMT</t>
  </si>
  <si>
    <t>Tue, 04 Nov 2025 00:00:00 GMT</t>
  </si>
  <si>
    <t>Mon, 03 Nov 2025 00:00:00 GMT</t>
  </si>
  <si>
    <t>Fri, 31 Oct 2025 00:00:00 GMT</t>
  </si>
  <si>
    <t>Thu, 30 Oct 2025 00:00:00 GMT</t>
  </si>
  <si>
    <t>Wed, 29 Oct 2025 00:00:00 GMT</t>
  </si>
  <si>
    <t>Tue, 28 Oct 2025 00:00:00 GMT</t>
  </si>
  <si>
    <t>Mon, 27 Oct 2025 00:00:00 GMT</t>
  </si>
  <si>
    <t>Fri, 24 Oct 2025 00:00:00 GMT</t>
  </si>
  <si>
    <t>Thu, 23 Oct 2025 00:00:00 GMT</t>
  </si>
  <si>
    <t>Wed, 22 Oct 2025 00:00:00 GMT</t>
  </si>
  <si>
    <t>Tue, 21 Oct 2025 00:00:00 GMT</t>
  </si>
  <si>
    <t>Mon, 20 Oct 2025 00:00:00 GMT</t>
  </si>
  <si>
    <t>Fri, 17 Oct 2025 00:00:00 GMT</t>
  </si>
  <si>
    <t>Thu, 16 Oct 2025 00:00:00 GMT</t>
  </si>
  <si>
    <t>Wed, 15 Oct 2025 00:00:00 GMT</t>
  </si>
  <si>
    <t>Tue, 14 Oct 2025 00:00:00 GMT</t>
  </si>
  <si>
    <t>Mon, 13 Oct 2025 00:00:00 GMT</t>
  </si>
  <si>
    <t>Fri, 10 Oct 2025 00:00:00 GMT</t>
  </si>
  <si>
    <t>Thu, 09 Oct 2025 00:00:00 GMT</t>
  </si>
  <si>
    <t>Wed, 08 Oct 2025 00:00:00 GMT</t>
  </si>
  <si>
    <t>Tue, 07 Oct 2025 00:00:00 GMT</t>
  </si>
  <si>
    <t>Mon, 06 Oct 2025 00:00:00 GMT</t>
  </si>
  <si>
    <t>Fri, 03 Oct 2025 00:00:00 GMT</t>
  </si>
  <si>
    <t>Thu, 02 Oct 2025 00:00:00 GMT</t>
  </si>
  <si>
    <t>Wed, 01 Oct 2025 00:00:00 GMT</t>
  </si>
  <si>
    <t>Tue, 30 Sep 2025 00:00:00 GMT</t>
  </si>
  <si>
    <t>Mon, 29 Sep 2025 00:00:00 GMT</t>
  </si>
  <si>
    <t>Fri, 26 Sep 2025 00:00:00 GMT</t>
  </si>
  <si>
    <t>Thu, 25 Sep 2025 00:00:00 GMT</t>
  </si>
  <si>
    <t>Wed, 24 Sep 2025 00:00:00 GMT</t>
  </si>
  <si>
    <t>Tue, 23 Sep 2025 00:00:00 GMT</t>
  </si>
  <si>
    <t>Mon, 22 Sep 2025 00:00:00 GMT</t>
  </si>
  <si>
    <t>Fri, 19 Sep 2025 00:00:00 GMT</t>
  </si>
  <si>
    <t>Thu, 18 Sep 2025 00:00:00 GMT</t>
  </si>
  <si>
    <t>Wed, 17 Sep 2025 00:00:00 GMT</t>
  </si>
  <si>
    <t>Tue, 16 Sep 2025 00:00:00 GMT</t>
  </si>
  <si>
    <t>Mon, 15 Sep 2025 00:00:00 GMT</t>
  </si>
  <si>
    <t>Fri, 12 Sep 2025 00:00:00 GMT</t>
  </si>
  <si>
    <t>Thu, 11 Sep 2025 00:00:00 GMT</t>
  </si>
  <si>
    <t>Wed, 10 Sep 2025 00:00:00 GMT</t>
  </si>
  <si>
    <t>Tue, 09 Sep 2025 00:00:00 GMT</t>
  </si>
  <si>
    <t>Mon, 08 Sep 2025 00:00:00 GMT</t>
  </si>
  <si>
    <t>Fri, 05 Sep 2025 00:00:00 GMT</t>
  </si>
  <si>
    <t>Thu, 04 Sep 2025 00:00:00 GMT</t>
  </si>
  <si>
    <t>Wed, 03 Sep 2025 00:00:00 GMT</t>
  </si>
  <si>
    <t>Tue, 02 Sep 2025 00:00:00 GMT</t>
  </si>
  <si>
    <t>Fri, 29 Aug 2025 00:00:00 GMT</t>
  </si>
  <si>
    <t>Thu, 28 Aug 2025 00:00:00 GMT</t>
  </si>
  <si>
    <t>Wed, 27 Aug 2025 00:00:00 GMT</t>
  </si>
  <si>
    <t>Tue, 26 Aug 2025 00:00:00 GMT</t>
  </si>
  <si>
    <t>Mon, 25 Aug 2025 00:00:00 GMT</t>
  </si>
  <si>
    <t>Fri, 22 Aug 2025 00:00:00 GMT</t>
  </si>
  <si>
    <t>Thu, 21 Aug 2025 00:00:00 GMT</t>
  </si>
  <si>
    <t>Wed, 20 Aug 2025 00:00:00 GMT</t>
  </si>
  <si>
    <t>Tue, 19 Aug 2025 00:00:00 GMT</t>
  </si>
  <si>
    <t>Mon, 18 Aug 2025 00:00:00 GMT</t>
  </si>
  <si>
    <t>Fri, 15 Aug 2025 00:00:00 GMT</t>
  </si>
  <si>
    <t>Thu, 14 Aug 2025 00:00:00 GMT</t>
  </si>
  <si>
    <t>Wed, 13 Aug 2025 00:00:00 GMT</t>
  </si>
  <si>
    <t>Tue, 12 Aug 2025 00:00:00 GMT</t>
  </si>
  <si>
    <t>Mon, 11 Aug 2025 00:00:00 GMT</t>
  </si>
  <si>
    <t>Fri, 08 Aug 2025 00:00:00 GMT</t>
  </si>
  <si>
    <t>Thu, 07 Aug 2025 00:00:00 GMT</t>
  </si>
  <si>
    <t>Wed, 06 Aug 2025 00:00:00 GMT</t>
  </si>
  <si>
    <t>Tue, 05 Aug 2025 00:00:00 GMT</t>
  </si>
  <si>
    <t>Mon, 04 Aug 2025 00:00:00 GMT</t>
  </si>
  <si>
    <t>Fri, 01 Aug 2025 00:00:00 GMT</t>
  </si>
  <si>
    <t>Thu, 31 Jul 2025 00:00:00 GMT</t>
  </si>
  <si>
    <t>Wed, 30 Jul 2025 00:00:00 GMT</t>
  </si>
  <si>
    <t>Tue, 29 Jul 2025 00:00:00 GMT</t>
  </si>
  <si>
    <t>Mon, 28 Jul 2025 00:00:00 GMT</t>
  </si>
  <si>
    <t>Fri, 25 Jul 2025 00:00:00 GMT</t>
  </si>
  <si>
    <t>Thu, 24 Jul 2025 00:00:00 GMT</t>
  </si>
  <si>
    <t>Wed, 23 Jul 2025 00:00:00 GMT</t>
  </si>
  <si>
    <t>Tue, 22 Jul 2025 00:00:00 GMT</t>
  </si>
  <si>
    <t>Mon, 21 Jul 2025 00:00:00 GMT</t>
  </si>
  <si>
    <t>Fri, 18 Jul 2025 00:00:00 GMT</t>
  </si>
  <si>
    <t>Thu, 17 Jul 2025 00:00:00 GMT</t>
  </si>
  <si>
    <t>Wed, 16 Jul 2025 00:00:00 GMT</t>
  </si>
  <si>
    <t>Tue, 15 Jul 2025 00:00:00 GMT</t>
  </si>
  <si>
    <t>Mon, 14 Jul 2025 00:00:00 GMT</t>
  </si>
  <si>
    <t>Fri, 11 Jul 2025 00:00:00 GMT</t>
  </si>
  <si>
    <t>Thu, 10 Jul 2025 00:00:00 GMT</t>
  </si>
  <si>
    <t>Wed, 09 Jul 2025 00:00:00 GMT</t>
  </si>
  <si>
    <t>Tue, 08 Jul 2025 00:00:00 GMT</t>
  </si>
  <si>
    <t>Mon, 07 Jul 2025 00:00:00 GMT</t>
  </si>
  <si>
    <t>Thu, 03 Jul 2025 00:00:00 GMT</t>
  </si>
  <si>
    <t>Wed, 02 Jul 2025 00:00:00 GMT</t>
  </si>
  <si>
    <t>Tue, 01 Jul 2025 00:00:00 GMT</t>
  </si>
  <si>
    <t>Mon, 30 Jun 2025 00:00:00 GMT</t>
  </si>
  <si>
    <t>Fri, 27 Jun 2025 00:00:00 GMT</t>
  </si>
  <si>
    <t>Thu, 26 Jun 2025 00:00:00 GMT</t>
  </si>
  <si>
    <t>Wed, 25 Jun 2025 00:00:00 GMT</t>
  </si>
  <si>
    <t>Tue, 24 Jun 2025 00:00:00 GMT</t>
  </si>
  <si>
    <t>Mon, 23 Jun 2025 00:00:00 GMT</t>
  </si>
  <si>
    <t>Fri, 20 Jun 2025 00:00:00 GMT</t>
  </si>
  <si>
    <t>Wed, 18 Jun 2025 00:00:00 GMT</t>
  </si>
  <si>
    <t>Tue, 17 Jun 2025 00:00:00 GMT</t>
  </si>
  <si>
    <t>Mon, 16 Jun 2025 00:00:00 GMT</t>
  </si>
  <si>
    <t>Fri, 13 Jun 2025 00:00:00 GMT</t>
  </si>
  <si>
    <t>Thu, 12 Jun 2025 00:00:00 GMT</t>
  </si>
  <si>
    <t>ISRG Historical Returns</t>
  </si>
  <si>
    <t>Q2'26</t>
  </si>
  <si>
    <t>https://www.sec.gov/edgar/browse/?CIK=1035267&amp;owner=exclude</t>
  </si>
  <si>
    <t>10/21/2026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</si>
</sst>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
    <numFmt numFmtId="165" formatCode="0.0%"/>
    <numFmt numFmtId="166" formatCode="0.0000"/>
    <numFmt numFmtId="167" formatCode="_(* #,##0.0_);_(* \(#,##0.0\);_(* &quot;-&quot;??_);_(@_)"/>
    <numFmt numFmtId="168" formatCode="_(* #,##0_);_(* \(#,##0\);_(* &quot;-&quot;??_);_(@_)"/>
  </numFmts>
  <fonts count="18">
    <font>
      <sz val="11"/>
      <color theme="1"/>
      <name val="Calibri"/>
      <family val="2"/>
      <scheme val="minor"/>
    </font>
    <font>
      <sz val="11"/>
      <color theme="1"/>
      <name val="Calibri"/>
      <family val="2"/>
      <scheme val="minor"/>
    </font>
    <font>
      <sz val="11"/>
      <color theme="1"/>
      <name val="Calibre"/>
    </font>
    <font>
      <b/>
      <sz val="11"/>
      <color theme="1"/>
      <name val="Calibre"/>
    </font>
    <font>
      <b/>
      <sz val="11"/>
      <color theme="0"/>
      <name val="Calibre"/>
    </font>
    <font>
      <sz val="11"/>
      <color theme="0"/>
      <name val="Calibre"/>
    </font>
    <font>
      <b/>
      <sz val="10"/>
      <name val="Arial"/>
      <family val="2"/>
    </font>
    <font>
      <i/>
      <sz val="11"/>
      <color theme="1"/>
      <name val="Calibre"/>
    </font>
    <font>
      <b/>
      <sz val="10"/>
      <name val="Calibre"/>
    </font>
    <font>
      <i/>
      <sz val="11"/>
      <color theme="1"/>
      <name val="Calibri"/>
      <family val="2"/>
      <scheme val="minor"/>
    </font>
    <font>
      <b/>
      <i/>
      <sz val="11"/>
      <color theme="1"/>
      <name val="Calibri"/>
      <family val="2"/>
      <scheme val="minor"/>
    </font>
    <font>
      <b/>
      <sz val="11"/>
      <name val="Calibre"/>
    </font>
    <font>
      <b/>
      <sz val="11"/>
      <color rgb="FF0070C0"/>
      <name val="Calibre"/>
    </font>
    <font>
      <sz val="11"/>
      <color rgb="FF0070C0"/>
      <name val="Calibre"/>
    </font>
    <font>
      <sz val="11"/>
      <name val="Calibre"/>
    </font>
    <font>
      <u/>
      <sz val="11"/>
      <color theme="10"/>
      <name val="Calibri"/>
      <family val="2"/>
      <scheme val="minor"/>
    </font>
    <font>
      <u/>
      <sz val="11"/>
      <color rgb="FF00B0F0"/>
      <name val="Calibre"/>
    </font>
    <font>
      <sz val="10"/>
      <name val="Arial"/>
      <family val="2"/>
    </font>
  </fonts>
  <fills count="6">
    <fill>
      <patternFill patternType="none"/>
    </fill>
    <fill>
      <patternFill patternType="gray125"/>
    </fill>
    <fill>
      <patternFill patternType="solid">
        <fgColor rgb="FF002060"/>
        <bgColor indexed="64"/>
      </patternFill>
    </fill>
    <fill>
      <patternFill patternType="solid">
        <fgColor theme="8" tint="-0.249977111117893"/>
        <bgColor indexed="64"/>
      </patternFill>
    </fill>
    <fill>
      <patternFill patternType="solid">
        <fgColor theme="4" tint="0.79998168889431442"/>
        <bgColor theme="4" tint="0.79998168889431442"/>
      </patternFill>
    </fill>
    <fill>
      <patternFill patternType="solid">
        <fgColor rgb="FFF5F5F5"/>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top/>
      <bottom/>
      <diagonal/>
    </border>
    <border>
      <left/>
      <right style="thin">
        <color indexed="64"/>
      </right>
      <top/>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right/>
      <top style="medium">
        <color indexed="64"/>
      </top>
      <bottom style="thin">
        <color indexed="64"/>
      </bottom>
      <diagonal/>
    </border>
    <border>
      <left/>
      <right/>
      <top/>
      <bottom style="medium">
        <color indexed="64"/>
      </bottom>
      <diagonal/>
    </border>
  </borders>
  <cellStyleXfs count="4">
    <xf numFmtId="0" fontId="0" fillId="0" borderId="0"/>
    <xf numFmtId="9" fontId="1" fillId="0" borderId="0" applyFont="0" applyFill="0" applyBorder="0" applyAlignment="0" applyProtection="0"/>
    <xf numFmtId="0" fontId="15" fillId="0" borderId="0" applyNumberFormat="0" applyFill="0" applyBorder="0" applyAlignment="0" applyProtection="0"/>
    <xf numFmtId="43" fontId="1" fillId="0" borderId="0" applyFont="0" applyFill="0" applyBorder="0" applyAlignment="0" applyProtection="0"/>
  </cellStyleXfs>
  <cellXfs count="99">
    <xf numFmtId="0" fontId="0" fillId="0" borderId="0" xfId="0"/>
    <xf numFmtId="0" fontId="2" fillId="0" borderId="0" xfId="0" applyFont="1"/>
    <xf numFmtId="0" fontId="3" fillId="0" borderId="0" xfId="0" applyFont="1"/>
    <xf numFmtId="0" fontId="4" fillId="2" borderId="1" xfId="0" applyFont="1" applyFill="1" applyBorder="1"/>
    <xf numFmtId="0" fontId="5" fillId="2" borderId="2" xfId="0" applyFont="1" applyFill="1" applyBorder="1"/>
    <xf numFmtId="0" fontId="5" fillId="2" borderId="3" xfId="0" applyFont="1" applyFill="1" applyBorder="1"/>
    <xf numFmtId="0" fontId="5" fillId="2" borderId="4" xfId="0" applyFont="1" applyFill="1" applyBorder="1"/>
    <xf numFmtId="0" fontId="4" fillId="3" borderId="1" xfId="0" applyFont="1" applyFill="1" applyBorder="1" applyAlignment="1">
      <alignment horizontal="left"/>
    </xf>
    <xf numFmtId="0" fontId="5" fillId="3" borderId="2" xfId="0" applyFont="1" applyFill="1" applyBorder="1" applyAlignment="1">
      <alignment horizontal="center"/>
    </xf>
    <xf numFmtId="0" fontId="5" fillId="3" borderId="5" xfId="0" applyFont="1" applyFill="1" applyBorder="1" applyAlignment="1">
      <alignment horizontal="center"/>
    </xf>
    <xf numFmtId="10" fontId="2" fillId="4" borderId="6" xfId="0" applyNumberFormat="1" applyFont="1" applyFill="1" applyBorder="1"/>
    <xf numFmtId="10" fontId="2" fillId="4" borderId="7" xfId="0" applyNumberFormat="1" applyFont="1" applyFill="1" applyBorder="1"/>
    <xf numFmtId="0" fontId="4" fillId="3" borderId="8" xfId="0" applyFont="1" applyFill="1" applyBorder="1" applyAlignment="1">
      <alignment horizontal="left"/>
    </xf>
    <xf numFmtId="0" fontId="5" fillId="3" borderId="0" xfId="0" applyFont="1" applyFill="1" applyAlignment="1">
      <alignment horizontal="center"/>
    </xf>
    <xf numFmtId="0" fontId="5" fillId="3" borderId="9" xfId="0" applyFont="1" applyFill="1" applyBorder="1" applyAlignment="1">
      <alignment horizontal="center"/>
    </xf>
    <xf numFmtId="10" fontId="2" fillId="0" borderId="10" xfId="0" applyNumberFormat="1" applyFont="1" applyBorder="1"/>
    <xf numFmtId="10" fontId="2" fillId="0" borderId="11" xfId="0" applyNumberFormat="1" applyFont="1" applyBorder="1"/>
    <xf numFmtId="10" fontId="2" fillId="4" borderId="10" xfId="0" applyNumberFormat="1" applyFont="1" applyFill="1" applyBorder="1"/>
    <xf numFmtId="10" fontId="2" fillId="4" borderId="11" xfId="0" applyNumberFormat="1" applyFont="1" applyFill="1" applyBorder="1"/>
    <xf numFmtId="0" fontId="4" fillId="3" borderId="12" xfId="0" applyFont="1" applyFill="1" applyBorder="1" applyAlignment="1">
      <alignment horizontal="left"/>
    </xf>
    <xf numFmtId="0" fontId="5" fillId="3" borderId="13" xfId="0" applyFont="1" applyFill="1" applyBorder="1" applyAlignment="1">
      <alignment horizontal="center"/>
    </xf>
    <xf numFmtId="0" fontId="5" fillId="3" borderId="14" xfId="0" applyFont="1" applyFill="1" applyBorder="1" applyAlignment="1">
      <alignment horizontal="center"/>
    </xf>
    <xf numFmtId="10" fontId="2" fillId="0" borderId="15" xfId="0" applyNumberFormat="1" applyFont="1" applyBorder="1"/>
    <xf numFmtId="10" fontId="2" fillId="0" borderId="16" xfId="0" applyNumberFormat="1" applyFont="1" applyBorder="1"/>
    <xf numFmtId="0" fontId="6" fillId="5" borderId="0" xfId="0" applyFont="1" applyFill="1" applyAlignment="1">
      <alignment horizontal="center" vertical="center"/>
    </xf>
    <xf numFmtId="10" fontId="2" fillId="0" borderId="0" xfId="0" applyNumberFormat="1" applyFont="1"/>
    <xf numFmtId="0" fontId="8" fillId="5" borderId="0" xfId="0" applyFont="1" applyFill="1" applyAlignment="1">
      <alignment horizontal="center" vertical="center"/>
    </xf>
    <xf numFmtId="10" fontId="8" fillId="5" borderId="0" xfId="0" applyNumberFormat="1" applyFont="1" applyFill="1" applyAlignment="1">
      <alignment horizontal="center" vertical="center"/>
    </xf>
    <xf numFmtId="0" fontId="8" fillId="5" borderId="0" xfId="0" applyFont="1" applyFill="1" applyAlignment="1">
      <alignment horizontal="right" vertical="center"/>
    </xf>
    <xf numFmtId="0" fontId="2" fillId="0" borderId="0" xfId="0" applyFont="1" applyAlignment="1">
      <alignment horizontal="right"/>
    </xf>
    <xf numFmtId="3" fontId="2" fillId="0" borderId="0" xfId="0" applyNumberFormat="1" applyFont="1" applyAlignment="1">
      <alignment horizontal="left"/>
    </xf>
    <xf numFmtId="0" fontId="9" fillId="0" borderId="17" xfId="0" applyFont="1" applyBorder="1" applyAlignment="1">
      <alignment horizontal="left"/>
    </xf>
    <xf numFmtId="0" fontId="9" fillId="0" borderId="17" xfId="0" applyFont="1" applyBorder="1" applyAlignment="1">
      <alignment horizontal="center" wrapText="1"/>
    </xf>
    <xf numFmtId="0" fontId="11" fillId="0" borderId="0" xfId="0" applyFont="1"/>
    <xf numFmtId="0" fontId="12" fillId="0" borderId="0" xfId="0" applyFont="1"/>
    <xf numFmtId="0" fontId="13" fillId="0" borderId="0" xfId="0" applyFont="1"/>
    <xf numFmtId="0" fontId="14" fillId="0" borderId="0" xfId="0" applyFont="1" applyAlignment="1">
      <alignment horizontal="left" indent="1"/>
    </xf>
    <xf numFmtId="0" fontId="14" fillId="0" borderId="0" xfId="0" applyFont="1"/>
    <xf numFmtId="2" fontId="2" fillId="0" borderId="0" xfId="1" quotePrefix="1" applyNumberFormat="1" applyFont="1"/>
    <xf numFmtId="2" fontId="2" fillId="0" borderId="0" xfId="0" applyNumberFormat="1" applyFont="1"/>
    <xf numFmtId="2" fontId="2" fillId="0" borderId="0" xfId="0" quotePrefix="1" applyNumberFormat="1" applyFont="1"/>
    <xf numFmtId="0" fontId="2" fillId="0" borderId="0" xfId="1" applyNumberFormat="1" applyFont="1"/>
    <xf numFmtId="0" fontId="16" fillId="0" borderId="0" xfId="2" applyFont="1"/>
    <xf numFmtId="164" fontId="2" fillId="0" borderId="0" xfId="0" applyNumberFormat="1" applyFont="1"/>
    <xf numFmtId="0" fontId="17" fillId="0" borderId="0" xfId="0" applyFont="1"/>
    <xf numFmtId="1" fontId="2" fillId="0" borderId="0" xfId="0" applyNumberFormat="1" applyFont="1"/>
    <xf numFmtId="165" fontId="2" fillId="0" borderId="0" xfId="1" applyNumberFormat="1" applyFont="1"/>
    <xf numFmtId="1" fontId="3" fillId="0" borderId="0" xfId="0" applyNumberFormat="1" applyFont="1"/>
    <xf numFmtId="165" fontId="3" fillId="0" borderId="0" xfId="1" applyNumberFormat="1" applyFont="1"/>
    <xf numFmtId="0" fontId="15" fillId="0" borderId="0" xfId="2"/>
    <xf numFmtId="10" fontId="2" fillId="0" borderId="0" xfId="0" applyNumberFormat="1" applyFont="1" applyAlignment="1">
      <alignment vertical="top"/>
    </xf>
    <xf numFmtId="10" fontId="0" fillId="0" borderId="0" xfId="0" applyNumberFormat="1"/>
    <xf numFmtId="0" fontId="0" fillId="0" borderId="18" xfId="0" applyBorder="1"/>
    <xf numFmtId="0" fontId="9" fillId="0" borderId="17" xfId="0" applyFont="1" applyBorder="1" applyAlignment="1">
      <alignment horizontal="center"/>
    </xf>
    <xf numFmtId="166" fontId="2" fillId="0" borderId="0" xfId="0" applyNumberFormat="1" applyFont="1"/>
    <xf numFmtId="0" fontId="13" fillId="0" borderId="0" xfId="0" applyFont="1" applyAlignment="1">
      <alignment horizontal="right" vertical="top"/>
    </xf>
    <xf numFmtId="0" fontId="13" fillId="0" borderId="0" xfId="0" applyFont="1" applyAlignment="1">
      <alignment vertical="top"/>
    </xf>
    <xf numFmtId="0" fontId="13" fillId="0" borderId="0" xfId="0" applyFont="1" applyAlignment="1">
      <alignment horizontal="center" vertical="top"/>
    </xf>
    <xf numFmtId="0" fontId="13" fillId="0" borderId="0" xfId="0" applyFont="1" applyAlignment="1">
      <alignment vertical="top" wrapText="1"/>
    </xf>
    <xf numFmtId="10" fontId="13" fillId="0" borderId="0" xfId="0" applyNumberFormat="1" applyFont="1" applyAlignment="1">
      <alignment vertical="top"/>
    </xf>
    <xf numFmtId="1" fontId="13" fillId="0" borderId="0" xfId="0" applyNumberFormat="1" applyFont="1" applyAlignment="1">
      <alignment vertical="top"/>
    </xf>
    <xf numFmtId="164" fontId="13" fillId="0" borderId="0" xfId="0" applyNumberFormat="1" applyFont="1" applyAlignment="1">
      <alignment vertical="top"/>
    </xf>
    <xf numFmtId="165" fontId="13" fillId="0" borderId="0" xfId="1" applyNumberFormat="1" applyFont="1" applyAlignment="1">
      <alignment vertical="top"/>
    </xf>
    <xf numFmtId="2" fontId="13" fillId="0" borderId="0" xfId="0" applyNumberFormat="1" applyFont="1" applyAlignment="1">
      <alignment vertical="top"/>
    </xf>
    <xf numFmtId="14" fontId="13" fillId="0" borderId="0" xfId="0" applyNumberFormat="1" applyFont="1" applyAlignment="1">
      <alignment horizontal="left" vertical="top"/>
    </xf>
    <xf numFmtId="0" fontId="13" fillId="0" borderId="0" xfId="0" applyFont="1" applyAlignment="1">
      <alignment horizontal="left" vertical="top"/>
    </xf>
    <xf numFmtId="49" fontId="13" fillId="0" borderId="0" xfId="0" applyNumberFormat="1" applyFont="1" applyAlignment="1">
      <alignment horizontal="left" vertical="top"/>
    </xf>
    <xf numFmtId="0" fontId="12" fillId="0" borderId="0" xfId="0" applyFont="1" applyAlignment="1">
      <alignment vertical="top"/>
    </xf>
    <xf numFmtId="165" fontId="13" fillId="0" borderId="0" xfId="1" applyNumberFormat="1" applyFont="1"/>
    <xf numFmtId="165" fontId="12" fillId="0" borderId="0" xfId="1" applyNumberFormat="1" applyFont="1"/>
    <xf numFmtId="1" fontId="13" fillId="0" borderId="0" xfId="0" applyNumberFormat="1" applyFont="1"/>
    <xf numFmtId="1" fontId="12" fillId="0" borderId="0" xfId="0" applyNumberFormat="1" applyFont="1"/>
    <xf numFmtId="49" fontId="2" fillId="0" borderId="0" xfId="0" applyNumberFormat="1" applyFont="1"/>
    <xf numFmtId="0" fontId="13" fillId="0" borderId="0" xfId="0" applyFont="1" applyAlignment="1">
      <alignment horizontal="center"/>
    </xf>
    <xf numFmtId="0" fontId="12" fillId="0" borderId="0" xfId="0" applyFont="1" applyAlignment="1">
      <alignment horizontal="left" vertical="top" indent="1"/>
    </xf>
    <xf numFmtId="0" fontId="12" fillId="0" borderId="0" xfId="0" applyFont="1" applyAlignment="1">
      <alignment horizontal="right" vertical="center"/>
    </xf>
    <xf numFmtId="0" fontId="13" fillId="0" borderId="0" xfId="0" applyFont="1" applyAlignment="1">
      <alignment vertical="center" wrapText="1"/>
    </xf>
    <xf numFmtId="0" fontId="13" fillId="0" borderId="0" xfId="0" applyFont="1" applyAlignment="1">
      <alignment vertical="center"/>
    </xf>
    <xf numFmtId="0" fontId="13" fillId="0" borderId="0" xfId="0" applyFont="1" applyAlignment="1">
      <alignment horizontal="left" indent="1"/>
    </xf>
    <xf numFmtId="10" fontId="13" fillId="0" borderId="0" xfId="1" applyNumberFormat="1" applyFont="1"/>
    <xf numFmtId="164" fontId="13" fillId="0" borderId="0" xfId="0" applyNumberFormat="1" applyFont="1" applyAlignment="1">
      <alignment vertical="center"/>
    </xf>
    <xf numFmtId="0" fontId="12" fillId="0" borderId="0" xfId="0" applyFont="1" applyAlignment="1">
      <alignment horizontal="left" indent="1"/>
    </xf>
    <xf numFmtId="10" fontId="12" fillId="0" borderId="0" xfId="1" applyNumberFormat="1" applyFont="1"/>
    <xf numFmtId="14" fontId="13" fillId="0" borderId="0" xfId="0" applyNumberFormat="1" applyFont="1" applyAlignment="1">
      <alignment horizontal="left" vertical="center"/>
    </xf>
    <xf numFmtId="0" fontId="13" fillId="0" borderId="0" xfId="0" applyFont="1" applyAlignment="1">
      <alignment horizontal="left" vertical="center"/>
    </xf>
    <xf numFmtId="49" fontId="13" fillId="0" borderId="0" xfId="0" applyNumberFormat="1" applyFont="1" applyAlignment="1">
      <alignment horizontal="left" vertical="center"/>
    </xf>
    <xf numFmtId="0" fontId="13" fillId="0" borderId="0" xfId="0" applyFont="1" applyAlignment="1">
      <alignment horizontal="left" vertical="top" indent="1"/>
    </xf>
    <xf numFmtId="2" fontId="13" fillId="0" borderId="0" xfId="0" applyNumberFormat="1" applyFont="1"/>
    <xf numFmtId="9" fontId="13" fillId="0" borderId="0" xfId="1" applyFont="1"/>
    <xf numFmtId="10" fontId="13" fillId="0" borderId="0" xfId="1" applyNumberFormat="1" applyFont="1" applyAlignment="1">
      <alignment horizontal="left" indent="1"/>
    </xf>
    <xf numFmtId="10" fontId="13" fillId="0" borderId="0" xfId="1" applyNumberFormat="1" applyFont="1" applyAlignment="1">
      <alignment horizontal="right"/>
    </xf>
    <xf numFmtId="1" fontId="12" fillId="0" borderId="0" xfId="0" applyNumberFormat="1" applyFont="1" applyAlignment="1">
      <alignment horizontal="left" indent="1"/>
    </xf>
    <xf numFmtId="0" fontId="3" fillId="0" borderId="0" xfId="0" applyFont="1" applyAlignment="1">
      <alignment vertical="center"/>
    </xf>
    <xf numFmtId="2" fontId="8" fillId="5" borderId="0" xfId="0" applyNumberFormat="1" applyFont="1" applyFill="1" applyAlignment="1">
      <alignment horizontal="center" vertical="center"/>
    </xf>
    <xf numFmtId="43" fontId="2" fillId="0" borderId="0" xfId="3" applyFont="1" applyAlignment="1">
      <alignment horizontal="left"/>
    </xf>
    <xf numFmtId="167" fontId="2" fillId="0" borderId="0" xfId="3" applyNumberFormat="1" applyFont="1" applyAlignment="1">
      <alignment horizontal="left"/>
    </xf>
    <xf numFmtId="168" fontId="2" fillId="0" borderId="0" xfId="3" applyNumberFormat="1" applyFont="1" applyAlignment="1">
      <alignment horizontal="left"/>
    </xf>
    <xf numFmtId="0" fontId="13" fillId="0" borderId="0" xfId="0" applyFont="1" applyAlignment="1">
      <alignment horizontal="center"/>
    </xf>
    <xf numFmtId="0" fontId="2" fillId="0" borderId="0" xfId="0" applyFont="1" applyAlignment="1">
      <alignment horizontal="left"/>
    </xf>
  </cellXfs>
  <cellStyles count="4">
    <cellStyle name="Comma" xfId="3" builtinId="3"/>
    <cellStyle name="Hyperlink" xfId="2" builtinId="8"/>
    <cellStyle name="Normal" xfId="0" builtinId="0"/>
    <cellStyle name="Percent" xfId="1" builtinId="5"/>
  </cellStyles>
  <dxfs count="5">
    <dxf>
      <font>
        <b/>
        <i val="0"/>
        <color theme="0"/>
      </font>
      <fill>
        <patternFill>
          <bgColor rgb="FF5A8C38"/>
        </patternFill>
      </fill>
    </dxf>
    <dxf>
      <font>
        <b/>
        <i val="0"/>
        <color theme="0"/>
      </font>
      <fill>
        <patternFill>
          <bgColor theme="9" tint="0.39994506668294322"/>
        </patternFill>
      </fill>
    </dxf>
    <dxf>
      <font>
        <b/>
        <i val="0"/>
        <color theme="1"/>
      </font>
      <fill>
        <patternFill>
          <bgColor theme="7" tint="0.39994506668294322"/>
        </patternFill>
      </fill>
    </dxf>
    <dxf>
      <font>
        <b/>
        <i val="0"/>
        <color theme="0"/>
      </font>
      <fill>
        <patternFill>
          <bgColor rgb="FFFF6D6D"/>
        </patternFill>
      </fill>
    </dxf>
    <dxf>
      <font>
        <b/>
        <i val="0"/>
        <color theme="0"/>
      </font>
      <fill>
        <patternFill>
          <bgColor rgb="FFF20000"/>
        </patternFill>
      </fill>
    </dxf>
  </dxfs>
  <tableStyles count="0" defaultTableStyle="TableStyleMedium2" defaultPivotStyle="PivotStyleLight16"/>
  <colors>
    <mruColors>
      <color rgb="FFF2B800"/>
      <color rgb="FF0094C8"/>
      <color rgb="FF00A1DA"/>
      <color rgb="FF6EB29D"/>
      <color rgb="FF5781CD"/>
      <color rgb="FF7E9E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(ISRG) Revenue by Segment (in $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09587501048507E-2"/>
          <c:y val="0.16630261573867286"/>
          <c:w val="0.91646860416323306"/>
          <c:h val="0.74917903495450422"/>
        </c:manualLayout>
      </c:layout>
      <c:barChart>
        <c:barDir val="col"/>
        <c:grouping val="stacked"/>
        <c:varyColors val="0"/>
        <c:ser>
          <c:idx val="2"/>
          <c:order val="0"/>
          <c:tx>
            <c:strRef>
              <c:f>Model!$B$6</c:f>
              <c:strCache>
                <c:ptCount val="1"/>
                <c:pt idx="0">
                  <c:v>Services</c:v>
                </c:pt>
              </c:strCache>
            </c:strRef>
          </c:tx>
          <c:spPr>
            <a:solidFill>
              <a:srgbClr val="6EB29D"/>
            </a:solidFill>
            <a:ln>
              <a:noFill/>
            </a:ln>
            <a:effectLst/>
          </c:spPr>
          <c:invertIfNegative val="0"/>
          <c:cat>
            <c:strRef>
              <c:f>Model!$AU$1:$BU$1</c:f>
              <c:strCache>
                <c:ptCount val="25"/>
                <c:pt idx="0">
                  <c:v>Q1 2020</c:v>
                </c:pt>
                <c:pt idx="4">
                  <c:v>Q1 2021</c:v>
                </c:pt>
                <c:pt idx="8">
                  <c:v>Q1 2022</c:v>
                </c:pt>
                <c:pt idx="12">
                  <c:v>Q1 2023</c:v>
                </c:pt>
                <c:pt idx="16">
                  <c:v>Q1 2024</c:v>
                </c:pt>
                <c:pt idx="20">
                  <c:v>Q1 2025</c:v>
                </c:pt>
                <c:pt idx="24">
                  <c:v>Q1 2026</c:v>
                </c:pt>
              </c:strCache>
            </c:strRef>
          </c:cat>
          <c:val>
            <c:numRef>
              <c:f>Model!$AU$6:$BU$6</c:f>
              <c:numCache>
                <c:formatCode>0</c:formatCode>
                <c:ptCount val="27"/>
                <c:pt idx="0">
                  <c:v>198.7</c:v>
                </c:pt>
                <c:pt idx="1">
                  <c:v>130.30000000000001</c:v>
                </c:pt>
                <c:pt idx="2">
                  <c:v>179.4</c:v>
                </c:pt>
                <c:pt idx="3">
                  <c:v>215.39999999999998</c:v>
                </c:pt>
                <c:pt idx="4">
                  <c:v>217.5</c:v>
                </c:pt>
                <c:pt idx="5">
                  <c:v>228</c:v>
                </c:pt>
                <c:pt idx="6">
                  <c:v>232.7</c:v>
                </c:pt>
                <c:pt idx="7">
                  <c:v>238</c:v>
                </c:pt>
                <c:pt idx="8">
                  <c:v>249.3</c:v>
                </c:pt>
                <c:pt idx="9">
                  <c:v>251.7</c:v>
                </c:pt>
                <c:pt idx="10">
                  <c:v>259.89999999999998</c:v>
                </c:pt>
                <c:pt idx="11">
                  <c:v>263.30000000000007</c:v>
                </c:pt>
                <c:pt idx="12">
                  <c:v>283.2</c:v>
                </c:pt>
                <c:pt idx="13">
                  <c:v>287.3</c:v>
                </c:pt>
                <c:pt idx="14">
                  <c:v>292.89999999999998</c:v>
                </c:pt>
                <c:pt idx="15">
                  <c:v>304.39999999999998</c:v>
                </c:pt>
                <c:pt idx="16">
                  <c:v>313.5</c:v>
                </c:pt>
                <c:pt idx="17">
                  <c:v>317.3</c:v>
                </c:pt>
                <c:pt idx="18">
                  <c:v>328.9</c:v>
                </c:pt>
                <c:pt idx="19">
                  <c:v>347.4</c:v>
                </c:pt>
                <c:pt idx="20">
                  <c:v>363</c:v>
                </c:pt>
                <c:pt idx="21">
                  <c:v>391.20000000000005</c:v>
                </c:pt>
                <c:pt idx="22">
                  <c:v>395</c:v>
                </c:pt>
                <c:pt idx="23">
                  <c:v>423</c:v>
                </c:pt>
                <c:pt idx="24">
                  <c:v>433.7</c:v>
                </c:pt>
                <c:pt idx="25">
                  <c:v>472.4</c:v>
                </c:pt>
                <c:pt idx="26">
                  <c:v>482.2</c:v>
                </c:pt>
              </c:numCache>
            </c:numRef>
          </c:val>
          <c:extLst>
            <c:ext xmlns:c16="http://schemas.microsoft.com/office/drawing/2014/chart" uri="{C3380CC4-5D6E-409C-BE32-E72D297353CC}">
              <c16:uniqueId val="{00000002-763E-43B3-B662-D76C6E829219}"/>
            </c:ext>
          </c:extLst>
        </c:ser>
        <c:ser>
          <c:idx val="3"/>
          <c:order val="1"/>
          <c:tx>
            <c:strRef>
              <c:f>Model!$B$4</c:f>
              <c:strCache>
                <c:ptCount val="1"/>
                <c:pt idx="0">
                  <c:v>Instruments &amp; Accessories</c:v>
                </c:pt>
              </c:strCache>
            </c:strRef>
          </c:tx>
          <c:spPr>
            <a:solidFill>
              <a:srgbClr val="0094C8"/>
            </a:solidFill>
            <a:ln>
              <a:noFill/>
            </a:ln>
            <a:effectLst/>
          </c:spPr>
          <c:invertIfNegative val="0"/>
          <c:cat>
            <c:strRef>
              <c:f>Model!$AU$1:$BU$1</c:f>
              <c:strCache>
                <c:ptCount val="25"/>
                <c:pt idx="0">
                  <c:v>Q1 2020</c:v>
                </c:pt>
                <c:pt idx="4">
                  <c:v>Q1 2021</c:v>
                </c:pt>
                <c:pt idx="8">
                  <c:v>Q1 2022</c:v>
                </c:pt>
                <c:pt idx="12">
                  <c:v>Q1 2023</c:v>
                </c:pt>
                <c:pt idx="16">
                  <c:v>Q1 2024</c:v>
                </c:pt>
                <c:pt idx="20">
                  <c:v>Q1 2025</c:v>
                </c:pt>
                <c:pt idx="24">
                  <c:v>Q1 2026</c:v>
                </c:pt>
              </c:strCache>
            </c:strRef>
          </c:cat>
          <c:val>
            <c:numRef>
              <c:f>Model!$AU$4:$BU$4</c:f>
              <c:numCache>
                <c:formatCode>0</c:formatCode>
                <c:ptCount val="27"/>
                <c:pt idx="0">
                  <c:v>617.5</c:v>
                </c:pt>
                <c:pt idx="1">
                  <c:v>460.8</c:v>
                </c:pt>
                <c:pt idx="2">
                  <c:v>630.5</c:v>
                </c:pt>
                <c:pt idx="3">
                  <c:v>746.89999999999986</c:v>
                </c:pt>
                <c:pt idx="4">
                  <c:v>705.9</c:v>
                </c:pt>
                <c:pt idx="5">
                  <c:v>796.4</c:v>
                </c:pt>
                <c:pt idx="6">
                  <c:v>755.4</c:v>
                </c:pt>
                <c:pt idx="7">
                  <c:v>842.80000000000018</c:v>
                </c:pt>
                <c:pt idx="8">
                  <c:v>810.3</c:v>
                </c:pt>
                <c:pt idx="9">
                  <c:v>895.3</c:v>
                </c:pt>
                <c:pt idx="10">
                  <c:v>871.6</c:v>
                </c:pt>
                <c:pt idx="11">
                  <c:v>940.70000000000027</c:v>
                </c:pt>
                <c:pt idx="12">
                  <c:v>985.6</c:v>
                </c:pt>
                <c:pt idx="13">
                  <c:v>1075.9000000000001</c:v>
                </c:pt>
                <c:pt idx="14">
                  <c:v>1071.4000000000001</c:v>
                </c:pt>
                <c:pt idx="15">
                  <c:v>1143.7000000000003</c:v>
                </c:pt>
                <c:pt idx="16">
                  <c:v>1158.9000000000001</c:v>
                </c:pt>
                <c:pt idx="17">
                  <c:v>1244.4000000000001</c:v>
                </c:pt>
                <c:pt idx="18">
                  <c:v>1264.2</c:v>
                </c:pt>
                <c:pt idx="19">
                  <c:v>1411.5</c:v>
                </c:pt>
                <c:pt idx="20">
                  <c:v>1367.7</c:v>
                </c:pt>
                <c:pt idx="21">
                  <c:v>1474.1000000000001</c:v>
                </c:pt>
                <c:pt idx="22">
                  <c:v>1518.8</c:v>
                </c:pt>
                <c:pt idx="23">
                  <c:v>1658.3</c:v>
                </c:pt>
                <c:pt idx="24">
                  <c:v>1686.4</c:v>
                </c:pt>
                <c:pt idx="25">
                  <c:v>1734.9</c:v>
                </c:pt>
                <c:pt idx="26">
                  <c:v>1797.4</c:v>
                </c:pt>
              </c:numCache>
            </c:numRef>
          </c:val>
          <c:extLst>
            <c:ext xmlns:c16="http://schemas.microsoft.com/office/drawing/2014/chart" uri="{C3380CC4-5D6E-409C-BE32-E72D297353CC}">
              <c16:uniqueId val="{00000003-763E-43B3-B662-D76C6E829219}"/>
            </c:ext>
          </c:extLst>
        </c:ser>
        <c:ser>
          <c:idx val="7"/>
          <c:order val="2"/>
          <c:tx>
            <c:strRef>
              <c:f>Model!$B$5</c:f>
              <c:strCache>
                <c:ptCount val="1"/>
                <c:pt idx="0">
                  <c:v>Systems</c:v>
                </c:pt>
              </c:strCache>
            </c:strRef>
          </c:tx>
          <c:spPr>
            <a:solidFill>
              <a:srgbClr val="F2B800"/>
            </a:solidFill>
            <a:ln>
              <a:noFill/>
            </a:ln>
            <a:effectLst/>
          </c:spPr>
          <c:invertIfNegative val="0"/>
          <c:cat>
            <c:strRef>
              <c:f>Model!$AU$1:$BU$1</c:f>
              <c:strCache>
                <c:ptCount val="25"/>
                <c:pt idx="0">
                  <c:v>Q1 2020</c:v>
                </c:pt>
                <c:pt idx="4">
                  <c:v>Q1 2021</c:v>
                </c:pt>
                <c:pt idx="8">
                  <c:v>Q1 2022</c:v>
                </c:pt>
                <c:pt idx="12">
                  <c:v>Q1 2023</c:v>
                </c:pt>
                <c:pt idx="16">
                  <c:v>Q1 2024</c:v>
                </c:pt>
                <c:pt idx="20">
                  <c:v>Q1 2025</c:v>
                </c:pt>
                <c:pt idx="24">
                  <c:v>Q1 2026</c:v>
                </c:pt>
              </c:strCache>
            </c:strRef>
          </c:cat>
          <c:val>
            <c:numRef>
              <c:f>Model!$AU$5:$BU$5</c:f>
              <c:numCache>
                <c:formatCode>0</c:formatCode>
                <c:ptCount val="27"/>
                <c:pt idx="0">
                  <c:v>283.3</c:v>
                </c:pt>
                <c:pt idx="1">
                  <c:v>261</c:v>
                </c:pt>
                <c:pt idx="2">
                  <c:v>267.8</c:v>
                </c:pt>
                <c:pt idx="3">
                  <c:v>366.80000000000018</c:v>
                </c:pt>
                <c:pt idx="4">
                  <c:v>368.7</c:v>
                </c:pt>
                <c:pt idx="5">
                  <c:v>439.6</c:v>
                </c:pt>
                <c:pt idx="6">
                  <c:v>415.2</c:v>
                </c:pt>
                <c:pt idx="7">
                  <c:v>469.90000000000009</c:v>
                </c:pt>
                <c:pt idx="8">
                  <c:v>428.1</c:v>
                </c:pt>
                <c:pt idx="9">
                  <c:v>375.1</c:v>
                </c:pt>
                <c:pt idx="10">
                  <c:v>425.9</c:v>
                </c:pt>
                <c:pt idx="11">
                  <c:v>451</c:v>
                </c:pt>
                <c:pt idx="12">
                  <c:v>427.4</c:v>
                </c:pt>
                <c:pt idx="13">
                  <c:v>392.7</c:v>
                </c:pt>
                <c:pt idx="14">
                  <c:v>379.4</c:v>
                </c:pt>
                <c:pt idx="15">
                  <c:v>480.20000000000005</c:v>
                </c:pt>
                <c:pt idx="16">
                  <c:v>418.2</c:v>
                </c:pt>
                <c:pt idx="17">
                  <c:v>448.2</c:v>
                </c:pt>
                <c:pt idx="18">
                  <c:v>445</c:v>
                </c:pt>
                <c:pt idx="19">
                  <c:v>654.59999999999991</c:v>
                </c:pt>
                <c:pt idx="20">
                  <c:v>522.70000000000005</c:v>
                </c:pt>
                <c:pt idx="21">
                  <c:v>574.70000000000005</c:v>
                </c:pt>
                <c:pt idx="22">
                  <c:v>590.4</c:v>
                </c:pt>
                <c:pt idx="23">
                  <c:v>785.9</c:v>
                </c:pt>
                <c:pt idx="24">
                  <c:v>650.70000000000005</c:v>
                </c:pt>
                <c:pt idx="25">
                  <c:v>685</c:v>
                </c:pt>
                <c:pt idx="26">
                  <c:v>769.1</c:v>
                </c:pt>
              </c:numCache>
            </c:numRef>
          </c:val>
          <c:extLst>
            <c:ext xmlns:c16="http://schemas.microsoft.com/office/drawing/2014/chart" uri="{C3380CC4-5D6E-409C-BE32-E72D297353CC}">
              <c16:uniqueId val="{00000007-763E-43B3-B662-D76C6E829219}"/>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layout>
        <c:manualLayout>
          <c:xMode val="edge"/>
          <c:yMode val="edge"/>
          <c:x val="0.12500001367016772"/>
          <c:y val="5.2058346839546202E-2"/>
          <c:w val="0.79166664388305374"/>
          <c:h val="0.1073835381598369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(ISRG) Quarterly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c:spPr>
          <c:invertIfNegative val="0"/>
          <c:cat>
            <c:strRef>
              <c:f>Model!$AU$1:$BP$1</c:f>
              <c:strCache>
                <c:ptCount val="21"/>
                <c:pt idx="0">
                  <c:v>Q1 2020</c:v>
                </c:pt>
                <c:pt idx="4">
                  <c:v>Q1 2021</c:v>
                </c:pt>
                <c:pt idx="8">
                  <c:v>Q1 2022</c:v>
                </c:pt>
                <c:pt idx="12">
                  <c:v>Q1 2023</c:v>
                </c:pt>
                <c:pt idx="16">
                  <c:v>Q1 2024</c:v>
                </c:pt>
                <c:pt idx="20">
                  <c:v>Q1 2025</c:v>
                </c:pt>
              </c:strCache>
            </c:strRef>
          </c:cat>
          <c:val>
            <c:numRef>
              <c:f>Model!$AU$27:$BU$27</c:f>
              <c:numCache>
                <c:formatCode>0</c:formatCode>
                <c:ptCount val="27"/>
                <c:pt idx="0">
                  <c:v>316</c:v>
                </c:pt>
                <c:pt idx="1">
                  <c:v>70.199999999999903</c:v>
                </c:pt>
                <c:pt idx="2">
                  <c:v>316.80000000000013</c:v>
                </c:pt>
                <c:pt idx="3">
                  <c:v>363.79999999999995</c:v>
                </c:pt>
                <c:pt idx="4">
                  <c:v>435.19999999999987</c:v>
                </c:pt>
                <c:pt idx="5">
                  <c:v>523</c:v>
                </c:pt>
                <c:pt idx="6">
                  <c:v>387.20000000000005</c:v>
                </c:pt>
                <c:pt idx="7">
                  <c:v>382.70000000000022</c:v>
                </c:pt>
                <c:pt idx="8">
                  <c:v>369.40000000000003</c:v>
                </c:pt>
                <c:pt idx="9">
                  <c:v>313.60000000000014</c:v>
                </c:pt>
                <c:pt idx="10">
                  <c:v>324.70000000000005</c:v>
                </c:pt>
                <c:pt idx="11">
                  <c:v>336.7000000000001</c:v>
                </c:pt>
                <c:pt idx="12">
                  <c:v>360.8</c:v>
                </c:pt>
                <c:pt idx="13">
                  <c:v>426.00000000000006</c:v>
                </c:pt>
                <c:pt idx="14">
                  <c:v>419.80000000000035</c:v>
                </c:pt>
                <c:pt idx="15">
                  <c:v>610.70000000000027</c:v>
                </c:pt>
                <c:pt idx="16">
                  <c:v>547.40000000000009</c:v>
                </c:pt>
                <c:pt idx="17">
                  <c:v>531.50000000000011</c:v>
                </c:pt>
                <c:pt idx="18">
                  <c:v>570.59999999999991</c:v>
                </c:pt>
                <c:pt idx="19">
                  <c:v>688.00000000000023</c:v>
                </c:pt>
                <c:pt idx="20">
                  <c:v>703.70000000000016</c:v>
                </c:pt>
                <c:pt idx="21">
                  <c:v>664.20000000000016</c:v>
                </c:pt>
                <c:pt idx="22">
                  <c:v>708.5999999999998</c:v>
                </c:pt>
                <c:pt idx="23">
                  <c:v>801.19999999999982</c:v>
                </c:pt>
                <c:pt idx="24">
                  <c:v>826.00000000000034</c:v>
                </c:pt>
                <c:pt idx="25">
                  <c:v>823.20000000000016</c:v>
                </c:pt>
                <c:pt idx="26">
                  <c:v>524.39999999999964</c:v>
                </c:pt>
              </c:numCache>
            </c:numRef>
          </c:val>
          <c:extLst>
            <c:ext xmlns:c16="http://schemas.microsoft.com/office/drawing/2014/chart" uri="{C3380CC4-5D6E-409C-BE32-E72D297353CC}">
              <c16:uniqueId val="{00000001-3646-4EF6-8D0F-B65629DF816B}"/>
            </c:ext>
          </c:extLst>
        </c:ser>
        <c:ser>
          <c:idx val="2"/>
          <c:order val="2"/>
          <c:tx>
            <c:v>FCF</c:v>
          </c:tx>
          <c:spPr>
            <a:solidFill>
              <a:srgbClr val="FFC000"/>
            </a:solidFill>
            <a:ln>
              <a:solidFill>
                <a:srgbClr val="F2B800"/>
              </a:solidFill>
            </a:ln>
          </c:spPr>
          <c:invertIfNegative val="0"/>
          <c:cat>
            <c:strRef>
              <c:f>Model!$AU$1:$BP$1</c:f>
              <c:strCache>
                <c:ptCount val="21"/>
                <c:pt idx="0">
                  <c:v>Q1 2020</c:v>
                </c:pt>
                <c:pt idx="4">
                  <c:v>Q1 2021</c:v>
                </c:pt>
                <c:pt idx="8">
                  <c:v>Q1 2022</c:v>
                </c:pt>
                <c:pt idx="12">
                  <c:v>Q1 2023</c:v>
                </c:pt>
                <c:pt idx="16">
                  <c:v>Q1 2024</c:v>
                </c:pt>
                <c:pt idx="20">
                  <c:v>Q1 2025</c:v>
                </c:pt>
              </c:strCache>
            </c:strRef>
          </c:cat>
          <c:val>
            <c:numRef>
              <c:f>Model!$AU$71:$BU$71</c:f>
              <c:numCache>
                <c:formatCode>0</c:formatCode>
                <c:ptCount val="27"/>
                <c:pt idx="0">
                  <c:v>247.60000000000002</c:v>
                </c:pt>
                <c:pt idx="1">
                  <c:v>119.9</c:v>
                </c:pt>
                <c:pt idx="2">
                  <c:v>210.20000000000002</c:v>
                </c:pt>
                <c:pt idx="3">
                  <c:v>565.6</c:v>
                </c:pt>
                <c:pt idx="4">
                  <c:v>419</c:v>
                </c:pt>
                <c:pt idx="5">
                  <c:v>467.00000000000006</c:v>
                </c:pt>
                <c:pt idx="6">
                  <c:v>433.09999999999997</c:v>
                </c:pt>
                <c:pt idx="7">
                  <c:v>430.80000000000007</c:v>
                </c:pt>
                <c:pt idx="8">
                  <c:v>129.4</c:v>
                </c:pt>
                <c:pt idx="9">
                  <c:v>316.2</c:v>
                </c:pt>
                <c:pt idx="10">
                  <c:v>214.1</c:v>
                </c:pt>
                <c:pt idx="11">
                  <c:v>298.7</c:v>
                </c:pt>
                <c:pt idx="12">
                  <c:v>177.29999999999998</c:v>
                </c:pt>
                <c:pt idx="13">
                  <c:v>487.40000000000003</c:v>
                </c:pt>
                <c:pt idx="14">
                  <c:v>292.09999999999997</c:v>
                </c:pt>
                <c:pt idx="15">
                  <c:v>-207.2</c:v>
                </c:pt>
                <c:pt idx="16">
                  <c:v>23.499999999999972</c:v>
                </c:pt>
                <c:pt idx="17">
                  <c:v>311.10000000000002</c:v>
                </c:pt>
                <c:pt idx="18">
                  <c:v>458.6</c:v>
                </c:pt>
                <c:pt idx="19">
                  <c:v>510.6</c:v>
                </c:pt>
                <c:pt idx="20">
                  <c:v>465</c:v>
                </c:pt>
                <c:pt idx="21">
                  <c:v>560.1</c:v>
                </c:pt>
                <c:pt idx="22">
                  <c:v>735.59999999999991</c:v>
                </c:pt>
                <c:pt idx="23">
                  <c:v>730</c:v>
                </c:pt>
                <c:pt idx="24">
                  <c:v>808.6</c:v>
                </c:pt>
                <c:pt idx="25">
                  <c:v>948</c:v>
                </c:pt>
                <c:pt idx="26">
                  <c:v>1111.3999999999999</c:v>
                </c:pt>
              </c:numCache>
            </c:numRef>
          </c:val>
          <c:extLst>
            <c:ext xmlns:c16="http://schemas.microsoft.com/office/drawing/2014/chart" uri="{C3380CC4-5D6E-409C-BE32-E72D297353CC}">
              <c16:uniqueId val="{00000003-3646-4EF6-8D0F-B65629DF816B}"/>
            </c:ext>
          </c:extLst>
        </c:ser>
        <c:dLbls>
          <c:showLegendKey val="0"/>
          <c:showVal val="0"/>
          <c:showCatName val="0"/>
          <c:showSerName val="0"/>
          <c:showPercent val="0"/>
          <c:showBubbleSize val="0"/>
        </c:dLbls>
        <c:gapWidth val="57"/>
        <c:overlap val="-2"/>
        <c:axId val="1243124976"/>
        <c:axId val="1243123056"/>
      </c:barChart>
      <c:lineChart>
        <c:grouping val="standard"/>
        <c:varyColors val="0"/>
        <c:ser>
          <c:idx val="0"/>
          <c:order val="0"/>
          <c:tx>
            <c:v>Revenues</c:v>
          </c:tx>
          <c:spPr>
            <a:ln w="28575">
              <a:solidFill>
                <a:srgbClr val="00B0F0"/>
              </a:solidFill>
            </a:ln>
          </c:spPr>
          <c:marker>
            <c:symbol val="none"/>
          </c:marker>
          <c:cat>
            <c:strRef>
              <c:f>Model!$AU$1:$BS$1</c:f>
              <c:strCache>
                <c:ptCount val="25"/>
                <c:pt idx="0">
                  <c:v>Q1 2020</c:v>
                </c:pt>
                <c:pt idx="4">
                  <c:v>Q1 2021</c:v>
                </c:pt>
                <c:pt idx="8">
                  <c:v>Q1 2022</c:v>
                </c:pt>
                <c:pt idx="12">
                  <c:v>Q1 2023</c:v>
                </c:pt>
                <c:pt idx="16">
                  <c:v>Q1 2024</c:v>
                </c:pt>
                <c:pt idx="20">
                  <c:v>Q1 2025</c:v>
                </c:pt>
                <c:pt idx="24">
                  <c:v>Q1 2026</c:v>
                </c:pt>
              </c:strCache>
            </c:strRef>
          </c:cat>
          <c:val>
            <c:numRef>
              <c:f>Model!$AU$18:$BU$18</c:f>
              <c:numCache>
                <c:formatCode>0</c:formatCode>
                <c:ptCount val="27"/>
                <c:pt idx="0">
                  <c:v>1099.5</c:v>
                </c:pt>
                <c:pt idx="1">
                  <c:v>852.09999999999991</c:v>
                </c:pt>
                <c:pt idx="2">
                  <c:v>1077.7</c:v>
                </c:pt>
                <c:pt idx="3">
                  <c:v>1329.1</c:v>
                </c:pt>
                <c:pt idx="4">
                  <c:v>1292.0999999999999</c:v>
                </c:pt>
                <c:pt idx="5">
                  <c:v>1464</c:v>
                </c:pt>
                <c:pt idx="6">
                  <c:v>1403.3</c:v>
                </c:pt>
                <c:pt idx="7">
                  <c:v>1550.7000000000003</c:v>
                </c:pt>
                <c:pt idx="8">
                  <c:v>1487.7</c:v>
                </c:pt>
                <c:pt idx="9">
                  <c:v>1522.1000000000001</c:v>
                </c:pt>
                <c:pt idx="10">
                  <c:v>1557.4</c:v>
                </c:pt>
                <c:pt idx="11">
                  <c:v>1655.0000000000005</c:v>
                </c:pt>
                <c:pt idx="12">
                  <c:v>1696.2</c:v>
                </c:pt>
                <c:pt idx="13">
                  <c:v>1755.9</c:v>
                </c:pt>
                <c:pt idx="14">
                  <c:v>1743.7000000000003</c:v>
                </c:pt>
                <c:pt idx="15">
                  <c:v>1928.3000000000002</c:v>
                </c:pt>
                <c:pt idx="16">
                  <c:v>1890.6000000000001</c:v>
                </c:pt>
                <c:pt idx="17">
                  <c:v>2009.9</c:v>
                </c:pt>
                <c:pt idx="18">
                  <c:v>2038.1</c:v>
                </c:pt>
                <c:pt idx="19">
                  <c:v>2413.5</c:v>
                </c:pt>
                <c:pt idx="20">
                  <c:v>2253.4</c:v>
                </c:pt>
                <c:pt idx="21">
                  <c:v>2440</c:v>
                </c:pt>
                <c:pt idx="22">
                  <c:v>2504.1999999999998</c:v>
                </c:pt>
                <c:pt idx="23">
                  <c:v>2867.2</c:v>
                </c:pt>
                <c:pt idx="24">
                  <c:v>2770.8</c:v>
                </c:pt>
                <c:pt idx="25">
                  <c:v>2892.3</c:v>
                </c:pt>
                <c:pt idx="26">
                  <c:v>3048.7</c:v>
                </c:pt>
              </c:numCache>
            </c:numRef>
          </c:val>
          <c:smooth val="0"/>
          <c:extLst>
            <c:ext xmlns:c16="http://schemas.microsoft.com/office/drawing/2014/chart" uri="{C3380CC4-5D6E-409C-BE32-E72D297353CC}">
              <c16:uniqueId val="{00000005-3646-4EF6-8D0F-B65629DF816B}"/>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(ISRG) Historical Return Histogram +  Normal Distribution Overlay</a:t>
            </a:r>
          </a:p>
        </c:rich>
      </c:tx>
      <c:layout>
        <c:manualLayout>
          <c:xMode val="edge"/>
          <c:yMode val="edge"/>
          <c:x val="0.26993827160493827"/>
          <c:y val="9.084836817195378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3.5764362787984838E-2"/>
          <c:y val="6.1527057344455703E-2"/>
          <c:w val="0.93313376105764534"/>
          <c:h val="0.87215756826816704"/>
        </c:manualLayout>
      </c:layout>
      <c:scatterChart>
        <c:scatterStyle val="smoothMarker"/>
        <c:varyColors val="0"/>
        <c:ser>
          <c:idx val="0"/>
          <c:order val="0"/>
          <c:tx>
            <c:strRef>
              <c:f>'Notes | Quant Analysis'!$R$220</c:f>
              <c:strCache>
                <c:ptCount val="1"/>
                <c:pt idx="0">
                  <c:v>Histogram Data</c:v>
                </c:pt>
              </c:strCache>
            </c:strRef>
          </c:tx>
          <c:spPr>
            <a:ln w="38100" cap="rnd">
              <a:noFill/>
              <a:round/>
            </a:ln>
            <a:effectLst/>
          </c:spPr>
          <c:marker>
            <c:symbol val="none"/>
          </c:marker>
          <c:errBars>
            <c:errDir val="y"/>
            <c:errBarType val="minus"/>
            <c:errValType val="percentage"/>
            <c:noEndCap val="1"/>
            <c:val val="100"/>
            <c:spPr>
              <a:noFill/>
              <a:ln w="165100" cap="flat" cmpd="sng" algn="ctr">
                <a:solidFill>
                  <a:srgbClr val="00B0F0"/>
                </a:solidFill>
                <a:round/>
              </a:ln>
              <a:effectLst/>
            </c:spPr>
          </c:errBars>
          <c:xVal>
            <c:numRef>
              <c:f>'Notes | Quant Analysis'!$R$222:$R$326</c:f>
              <c:numCache>
                <c:formatCode>0.00%</c:formatCode>
                <c:ptCount val="105"/>
                <c:pt idx="0">
                  <c:v>-5.1999999999999998E-2</c:v>
                </c:pt>
                <c:pt idx="1">
                  <c:v>-5.0999999999999997E-2</c:v>
                </c:pt>
                <c:pt idx="2">
                  <c:v>-0.05</c:v>
                </c:pt>
                <c:pt idx="3">
                  <c:v>-4.9000000000000002E-2</c:v>
                </c:pt>
                <c:pt idx="4">
                  <c:v>-4.8000000000000001E-2</c:v>
                </c:pt>
                <c:pt idx="5">
                  <c:v>-4.7E-2</c:v>
                </c:pt>
                <c:pt idx="6">
                  <c:v>-4.5999999999999999E-2</c:v>
                </c:pt>
                <c:pt idx="7">
                  <c:v>-4.4999999999999998E-2</c:v>
                </c:pt>
                <c:pt idx="8">
                  <c:v>-4.3999999999999997E-2</c:v>
                </c:pt>
                <c:pt idx="9">
                  <c:v>-4.2999999999999997E-2</c:v>
                </c:pt>
                <c:pt idx="10">
                  <c:v>-4.1999999999999996E-2</c:v>
                </c:pt>
                <c:pt idx="11">
                  <c:v>-4.0999999999999995E-2</c:v>
                </c:pt>
                <c:pt idx="12">
                  <c:v>-0.04</c:v>
                </c:pt>
                <c:pt idx="13">
                  <c:v>-3.9E-2</c:v>
                </c:pt>
                <c:pt idx="14">
                  <c:v>-3.7999999999999999E-2</c:v>
                </c:pt>
                <c:pt idx="15">
                  <c:v>-3.6999999999999998E-2</c:v>
                </c:pt>
                <c:pt idx="16">
                  <c:v>-3.5999999999999997E-2</c:v>
                </c:pt>
                <c:pt idx="17">
                  <c:v>-3.4999999999999996E-2</c:v>
                </c:pt>
                <c:pt idx="18">
                  <c:v>-3.3999999999999996E-2</c:v>
                </c:pt>
                <c:pt idx="19">
                  <c:v>-3.2999999999999995E-2</c:v>
                </c:pt>
                <c:pt idx="20">
                  <c:v>-3.1999999999999994E-2</c:v>
                </c:pt>
                <c:pt idx="21">
                  <c:v>-3.0999999999999993E-2</c:v>
                </c:pt>
                <c:pt idx="22">
                  <c:v>-2.9999999999999992E-2</c:v>
                </c:pt>
                <c:pt idx="23">
                  <c:v>-2.8999999999999991E-2</c:v>
                </c:pt>
                <c:pt idx="24">
                  <c:v>-2.799999999999999E-2</c:v>
                </c:pt>
                <c:pt idx="25">
                  <c:v>-2.6999999999999989E-2</c:v>
                </c:pt>
                <c:pt idx="26">
                  <c:v>-2.5999999999999988E-2</c:v>
                </c:pt>
                <c:pt idx="27">
                  <c:v>-2.4999999999999988E-2</c:v>
                </c:pt>
                <c:pt idx="28">
                  <c:v>-2.3999999999999987E-2</c:v>
                </c:pt>
                <c:pt idx="29">
                  <c:v>-2.2999999999999986E-2</c:v>
                </c:pt>
                <c:pt idx="30">
                  <c:v>-2.1999999999999985E-2</c:v>
                </c:pt>
                <c:pt idx="31">
                  <c:v>-2.0999999999999984E-2</c:v>
                </c:pt>
                <c:pt idx="32">
                  <c:v>-1.9999999999999983E-2</c:v>
                </c:pt>
                <c:pt idx="33">
                  <c:v>-1.8999999999999982E-2</c:v>
                </c:pt>
                <c:pt idx="34">
                  <c:v>-1.7999999999999981E-2</c:v>
                </c:pt>
                <c:pt idx="35">
                  <c:v>-1.699999999999998E-2</c:v>
                </c:pt>
                <c:pt idx="36">
                  <c:v>-1.599999999999998E-2</c:v>
                </c:pt>
                <c:pt idx="37">
                  <c:v>-1.4999999999999979E-2</c:v>
                </c:pt>
                <c:pt idx="38">
                  <c:v>-1.3999999999999978E-2</c:v>
                </c:pt>
                <c:pt idx="39">
                  <c:v>-1.2999999999999977E-2</c:v>
                </c:pt>
                <c:pt idx="40">
                  <c:v>-1.1999999999999976E-2</c:v>
                </c:pt>
                <c:pt idx="41">
                  <c:v>-1.0999999999999975E-2</c:v>
                </c:pt>
                <c:pt idx="42">
                  <c:v>-9.9999999999999742E-3</c:v>
                </c:pt>
                <c:pt idx="43">
                  <c:v>-8.9999999999999733E-3</c:v>
                </c:pt>
                <c:pt idx="44">
                  <c:v>-7.9999999999999724E-3</c:v>
                </c:pt>
                <c:pt idx="45">
                  <c:v>-6.9999999999999724E-3</c:v>
                </c:pt>
                <c:pt idx="46">
                  <c:v>-5.9999999999999724E-3</c:v>
                </c:pt>
                <c:pt idx="47">
                  <c:v>-4.9999999999999723E-3</c:v>
                </c:pt>
                <c:pt idx="48">
                  <c:v>-3.9999999999999723E-3</c:v>
                </c:pt>
                <c:pt idx="49">
                  <c:v>-2.9999999999999723E-3</c:v>
                </c:pt>
                <c:pt idx="50">
                  <c:v>-1.9999999999999723E-3</c:v>
                </c:pt>
                <c:pt idx="51">
                  <c:v>-9.9999999999997227E-4</c:v>
                </c:pt>
                <c:pt idx="52">
                  <c:v>2.7755575615628914E-17</c:v>
                </c:pt>
                <c:pt idx="53">
                  <c:v>1.0000000000000278E-3</c:v>
                </c:pt>
                <c:pt idx="54">
                  <c:v>2.0000000000000278E-3</c:v>
                </c:pt>
                <c:pt idx="55">
                  <c:v>3.0000000000000278E-3</c:v>
                </c:pt>
                <c:pt idx="56">
                  <c:v>4.0000000000000278E-3</c:v>
                </c:pt>
                <c:pt idx="57">
                  <c:v>5.0000000000000279E-3</c:v>
                </c:pt>
                <c:pt idx="58">
                  <c:v>6.0000000000000279E-3</c:v>
                </c:pt>
                <c:pt idx="59">
                  <c:v>7.0000000000000279E-3</c:v>
                </c:pt>
                <c:pt idx="60">
                  <c:v>8.0000000000000279E-3</c:v>
                </c:pt>
                <c:pt idx="61">
                  <c:v>9.0000000000000288E-3</c:v>
                </c:pt>
                <c:pt idx="62">
                  <c:v>1.000000000000003E-2</c:v>
                </c:pt>
                <c:pt idx="63">
                  <c:v>1.1000000000000031E-2</c:v>
                </c:pt>
                <c:pt idx="64">
                  <c:v>1.2000000000000031E-2</c:v>
                </c:pt>
                <c:pt idx="65">
                  <c:v>1.3000000000000032E-2</c:v>
                </c:pt>
                <c:pt idx="66">
                  <c:v>1.4000000000000033E-2</c:v>
                </c:pt>
                <c:pt idx="67">
                  <c:v>1.5000000000000034E-2</c:v>
                </c:pt>
                <c:pt idx="68">
                  <c:v>1.6000000000000035E-2</c:v>
                </c:pt>
                <c:pt idx="69">
                  <c:v>1.7000000000000036E-2</c:v>
                </c:pt>
                <c:pt idx="70">
                  <c:v>1.8000000000000037E-2</c:v>
                </c:pt>
                <c:pt idx="71">
                  <c:v>1.9000000000000038E-2</c:v>
                </c:pt>
                <c:pt idx="72">
                  <c:v>2.0000000000000039E-2</c:v>
                </c:pt>
                <c:pt idx="73">
                  <c:v>2.1000000000000039E-2</c:v>
                </c:pt>
                <c:pt idx="74">
                  <c:v>2.200000000000004E-2</c:v>
                </c:pt>
                <c:pt idx="75">
                  <c:v>2.3000000000000041E-2</c:v>
                </c:pt>
                <c:pt idx="76">
                  <c:v>2.4000000000000042E-2</c:v>
                </c:pt>
                <c:pt idx="77">
                  <c:v>2.5000000000000043E-2</c:v>
                </c:pt>
                <c:pt idx="78">
                  <c:v>2.6000000000000044E-2</c:v>
                </c:pt>
                <c:pt idx="79">
                  <c:v>2.7000000000000045E-2</c:v>
                </c:pt>
                <c:pt idx="80">
                  <c:v>2.8000000000000046E-2</c:v>
                </c:pt>
                <c:pt idx="81">
                  <c:v>2.9000000000000047E-2</c:v>
                </c:pt>
                <c:pt idx="82">
                  <c:v>3.0000000000000047E-2</c:v>
                </c:pt>
                <c:pt idx="83">
                  <c:v>3.1000000000000048E-2</c:v>
                </c:pt>
                <c:pt idx="84">
                  <c:v>3.2000000000000049E-2</c:v>
                </c:pt>
                <c:pt idx="85">
                  <c:v>3.300000000000005E-2</c:v>
                </c:pt>
                <c:pt idx="86">
                  <c:v>3.4000000000000051E-2</c:v>
                </c:pt>
                <c:pt idx="87">
                  <c:v>3.5000000000000052E-2</c:v>
                </c:pt>
                <c:pt idx="88">
                  <c:v>3.6000000000000053E-2</c:v>
                </c:pt>
                <c:pt idx="89">
                  <c:v>3.7000000000000054E-2</c:v>
                </c:pt>
                <c:pt idx="90">
                  <c:v>3.8000000000000055E-2</c:v>
                </c:pt>
                <c:pt idx="91">
                  <c:v>3.9000000000000055E-2</c:v>
                </c:pt>
                <c:pt idx="92">
                  <c:v>4.0000000000000056E-2</c:v>
                </c:pt>
                <c:pt idx="93">
                  <c:v>4.1000000000000057E-2</c:v>
                </c:pt>
                <c:pt idx="94">
                  <c:v>4.2000000000000058E-2</c:v>
                </c:pt>
                <c:pt idx="95">
                  <c:v>4.3000000000000059E-2</c:v>
                </c:pt>
                <c:pt idx="96">
                  <c:v>4.400000000000006E-2</c:v>
                </c:pt>
                <c:pt idx="97">
                  <c:v>4.5000000000000061E-2</c:v>
                </c:pt>
                <c:pt idx="98">
                  <c:v>4.6000000000000062E-2</c:v>
                </c:pt>
                <c:pt idx="99">
                  <c:v>4.7000000000000063E-2</c:v>
                </c:pt>
                <c:pt idx="100">
                  <c:v>4.8000000000000063E-2</c:v>
                </c:pt>
                <c:pt idx="101">
                  <c:v>4.9000000000000064E-2</c:v>
                </c:pt>
                <c:pt idx="102">
                  <c:v>5.0000000000000065E-2</c:v>
                </c:pt>
                <c:pt idx="103">
                  <c:v>5.1000000000000066E-2</c:v>
                </c:pt>
                <c:pt idx="104">
                  <c:v>5.2000000000000067E-2</c:v>
                </c:pt>
              </c:numCache>
            </c:numRef>
          </c:xVal>
          <c:yVal>
            <c:numRef>
              <c:f>'Notes | Quant Analysis'!$S$222:$S$326</c:f>
              <c:numCache>
                <c:formatCode>General</c:formatCode>
                <c:ptCount val="105"/>
                <c:pt idx="0">
                  <c:v>4</c:v>
                </c:pt>
                <c:pt idx="1">
                  <c:v>1</c:v>
                </c:pt>
                <c:pt idx="2">
                  <c:v>0</c:v>
                </c:pt>
                <c:pt idx="3">
                  <c:v>3</c:v>
                </c:pt>
                <c:pt idx="4">
                  <c:v>1</c:v>
                </c:pt>
                <c:pt idx="5">
                  <c:v>1</c:v>
                </c:pt>
                <c:pt idx="6">
                  <c:v>0</c:v>
                </c:pt>
                <c:pt idx="7">
                  <c:v>1</c:v>
                </c:pt>
                <c:pt idx="8">
                  <c:v>0</c:v>
                </c:pt>
                <c:pt idx="9">
                  <c:v>1</c:v>
                </c:pt>
                <c:pt idx="10">
                  <c:v>1</c:v>
                </c:pt>
                <c:pt idx="11">
                  <c:v>0</c:v>
                </c:pt>
                <c:pt idx="12">
                  <c:v>2</c:v>
                </c:pt>
                <c:pt idx="13">
                  <c:v>1</c:v>
                </c:pt>
                <c:pt idx="14">
                  <c:v>1</c:v>
                </c:pt>
                <c:pt idx="15">
                  <c:v>4</c:v>
                </c:pt>
                <c:pt idx="16">
                  <c:v>6</c:v>
                </c:pt>
                <c:pt idx="17">
                  <c:v>0</c:v>
                </c:pt>
                <c:pt idx="18">
                  <c:v>1</c:v>
                </c:pt>
                <c:pt idx="19">
                  <c:v>2</c:v>
                </c:pt>
                <c:pt idx="20">
                  <c:v>3</c:v>
                </c:pt>
                <c:pt idx="21">
                  <c:v>7</c:v>
                </c:pt>
                <c:pt idx="22">
                  <c:v>3</c:v>
                </c:pt>
                <c:pt idx="23">
                  <c:v>6</c:v>
                </c:pt>
                <c:pt idx="24">
                  <c:v>9</c:v>
                </c:pt>
                <c:pt idx="25">
                  <c:v>5</c:v>
                </c:pt>
                <c:pt idx="26">
                  <c:v>8</c:v>
                </c:pt>
                <c:pt idx="27">
                  <c:v>8</c:v>
                </c:pt>
                <c:pt idx="28">
                  <c:v>9</c:v>
                </c:pt>
                <c:pt idx="29">
                  <c:v>2</c:v>
                </c:pt>
                <c:pt idx="30">
                  <c:v>15</c:v>
                </c:pt>
                <c:pt idx="31">
                  <c:v>10</c:v>
                </c:pt>
                <c:pt idx="32">
                  <c:v>10</c:v>
                </c:pt>
                <c:pt idx="33">
                  <c:v>7</c:v>
                </c:pt>
                <c:pt idx="34">
                  <c:v>12</c:v>
                </c:pt>
                <c:pt idx="35">
                  <c:v>13</c:v>
                </c:pt>
                <c:pt idx="36">
                  <c:v>10</c:v>
                </c:pt>
                <c:pt idx="37">
                  <c:v>11</c:v>
                </c:pt>
                <c:pt idx="38">
                  <c:v>11</c:v>
                </c:pt>
                <c:pt idx="39">
                  <c:v>9</c:v>
                </c:pt>
                <c:pt idx="40">
                  <c:v>19</c:v>
                </c:pt>
                <c:pt idx="41">
                  <c:v>26</c:v>
                </c:pt>
                <c:pt idx="42">
                  <c:v>18</c:v>
                </c:pt>
                <c:pt idx="43">
                  <c:v>22</c:v>
                </c:pt>
                <c:pt idx="44">
                  <c:v>24</c:v>
                </c:pt>
                <c:pt idx="45">
                  <c:v>30</c:v>
                </c:pt>
                <c:pt idx="46">
                  <c:v>31</c:v>
                </c:pt>
                <c:pt idx="47">
                  <c:v>40</c:v>
                </c:pt>
                <c:pt idx="48">
                  <c:v>32</c:v>
                </c:pt>
                <c:pt idx="49">
                  <c:v>48</c:v>
                </c:pt>
                <c:pt idx="50">
                  <c:v>35</c:v>
                </c:pt>
                <c:pt idx="51">
                  <c:v>25</c:v>
                </c:pt>
                <c:pt idx="52">
                  <c:v>41</c:v>
                </c:pt>
                <c:pt idx="53">
                  <c:v>30</c:v>
                </c:pt>
                <c:pt idx="54">
                  <c:v>44</c:v>
                </c:pt>
                <c:pt idx="55">
                  <c:v>49</c:v>
                </c:pt>
                <c:pt idx="56">
                  <c:v>32</c:v>
                </c:pt>
                <c:pt idx="57">
                  <c:v>39</c:v>
                </c:pt>
                <c:pt idx="58">
                  <c:v>52</c:v>
                </c:pt>
                <c:pt idx="59">
                  <c:v>35</c:v>
                </c:pt>
                <c:pt idx="60">
                  <c:v>26</c:v>
                </c:pt>
                <c:pt idx="61">
                  <c:v>23</c:v>
                </c:pt>
                <c:pt idx="62">
                  <c:v>31</c:v>
                </c:pt>
                <c:pt idx="63">
                  <c:v>28</c:v>
                </c:pt>
                <c:pt idx="64">
                  <c:v>19</c:v>
                </c:pt>
                <c:pt idx="65">
                  <c:v>22</c:v>
                </c:pt>
                <c:pt idx="66">
                  <c:v>26</c:v>
                </c:pt>
                <c:pt idx="67">
                  <c:v>19</c:v>
                </c:pt>
                <c:pt idx="68">
                  <c:v>14</c:v>
                </c:pt>
                <c:pt idx="69">
                  <c:v>13</c:v>
                </c:pt>
                <c:pt idx="70">
                  <c:v>21</c:v>
                </c:pt>
                <c:pt idx="71">
                  <c:v>18</c:v>
                </c:pt>
                <c:pt idx="72">
                  <c:v>16</c:v>
                </c:pt>
                <c:pt idx="73">
                  <c:v>13</c:v>
                </c:pt>
                <c:pt idx="74">
                  <c:v>7</c:v>
                </c:pt>
                <c:pt idx="75">
                  <c:v>5</c:v>
                </c:pt>
                <c:pt idx="76">
                  <c:v>7</c:v>
                </c:pt>
                <c:pt idx="77">
                  <c:v>5</c:v>
                </c:pt>
                <c:pt idx="78">
                  <c:v>6</c:v>
                </c:pt>
                <c:pt idx="79">
                  <c:v>3</c:v>
                </c:pt>
                <c:pt idx="80">
                  <c:v>10</c:v>
                </c:pt>
                <c:pt idx="81">
                  <c:v>2</c:v>
                </c:pt>
                <c:pt idx="82">
                  <c:v>5</c:v>
                </c:pt>
                <c:pt idx="83">
                  <c:v>3</c:v>
                </c:pt>
                <c:pt idx="84">
                  <c:v>5</c:v>
                </c:pt>
                <c:pt idx="85">
                  <c:v>2</c:v>
                </c:pt>
                <c:pt idx="86">
                  <c:v>3</c:v>
                </c:pt>
                <c:pt idx="87">
                  <c:v>2</c:v>
                </c:pt>
                <c:pt idx="88">
                  <c:v>3</c:v>
                </c:pt>
                <c:pt idx="89">
                  <c:v>3</c:v>
                </c:pt>
                <c:pt idx="90">
                  <c:v>3</c:v>
                </c:pt>
                <c:pt idx="91">
                  <c:v>2</c:v>
                </c:pt>
                <c:pt idx="92">
                  <c:v>2</c:v>
                </c:pt>
                <c:pt idx="93">
                  <c:v>1</c:v>
                </c:pt>
                <c:pt idx="94">
                  <c:v>0</c:v>
                </c:pt>
                <c:pt idx="95">
                  <c:v>0</c:v>
                </c:pt>
                <c:pt idx="96">
                  <c:v>2</c:v>
                </c:pt>
                <c:pt idx="97">
                  <c:v>0</c:v>
                </c:pt>
                <c:pt idx="98">
                  <c:v>2</c:v>
                </c:pt>
                <c:pt idx="99">
                  <c:v>0</c:v>
                </c:pt>
                <c:pt idx="100">
                  <c:v>1</c:v>
                </c:pt>
                <c:pt idx="101">
                  <c:v>0</c:v>
                </c:pt>
                <c:pt idx="102">
                  <c:v>1</c:v>
                </c:pt>
                <c:pt idx="103">
                  <c:v>1</c:v>
                </c:pt>
                <c:pt idx="104">
                  <c:v>1</c:v>
                </c:pt>
              </c:numCache>
            </c:numRef>
          </c:yVal>
          <c:smooth val="1"/>
          <c:extLst>
            <c:ext xmlns:c16="http://schemas.microsoft.com/office/drawing/2014/chart" uri="{C3380CC4-5D6E-409C-BE32-E72D297353CC}">
              <c16:uniqueId val="{00000000-28C7-4862-86E9-AF862A5BA0AD}"/>
            </c:ext>
          </c:extLst>
        </c:ser>
        <c:ser>
          <c:idx val="1"/>
          <c:order val="1"/>
          <c:tx>
            <c:strRef>
              <c:f>'Notes | Quant Analysis'!$U$220</c:f>
              <c:strCache>
                <c:ptCount val="1"/>
                <c:pt idx="0">
                  <c:v>Distribution Overlay</c:v>
                </c:pt>
              </c:strCache>
            </c:strRef>
          </c:tx>
          <c:spPr>
            <a:ln w="19050" cap="rnd">
              <a:solidFill>
                <a:srgbClr val="FFC000"/>
              </a:solidFill>
              <a:round/>
            </a:ln>
            <a:effectLst/>
          </c:spPr>
          <c:marker>
            <c:symbol val="none"/>
          </c:marker>
          <c:xVal>
            <c:numRef>
              <c:f>'Notes | Quant Analysis'!$U$222:$U$328</c:f>
              <c:numCache>
                <c:formatCode>0.00%</c:formatCode>
                <c:ptCount val="107"/>
                <c:pt idx="0">
                  <c:v>-5.2999999999999999E-2</c:v>
                </c:pt>
                <c:pt idx="1">
                  <c:v>-5.1999999999999998E-2</c:v>
                </c:pt>
                <c:pt idx="2">
                  <c:v>-5.0999999999999997E-2</c:v>
                </c:pt>
                <c:pt idx="3">
                  <c:v>-0.05</c:v>
                </c:pt>
                <c:pt idx="4">
                  <c:v>-4.9000000000000002E-2</c:v>
                </c:pt>
                <c:pt idx="5">
                  <c:v>-4.8000000000000001E-2</c:v>
                </c:pt>
                <c:pt idx="6">
                  <c:v>-4.7E-2</c:v>
                </c:pt>
                <c:pt idx="7">
                  <c:v>-4.5999999999999999E-2</c:v>
                </c:pt>
                <c:pt idx="8">
                  <c:v>-4.4999999999999998E-2</c:v>
                </c:pt>
                <c:pt idx="9">
                  <c:v>-4.3999999999999997E-2</c:v>
                </c:pt>
                <c:pt idx="10">
                  <c:v>-4.2999999999999997E-2</c:v>
                </c:pt>
                <c:pt idx="11">
                  <c:v>-4.1999999999999996E-2</c:v>
                </c:pt>
                <c:pt idx="12">
                  <c:v>-4.0999999999999995E-2</c:v>
                </c:pt>
                <c:pt idx="13">
                  <c:v>-0.04</c:v>
                </c:pt>
                <c:pt idx="14">
                  <c:v>-3.9E-2</c:v>
                </c:pt>
                <c:pt idx="15">
                  <c:v>-3.7999999999999999E-2</c:v>
                </c:pt>
                <c:pt idx="16">
                  <c:v>-3.6999999999999998E-2</c:v>
                </c:pt>
                <c:pt idx="17">
                  <c:v>-3.5999999999999997E-2</c:v>
                </c:pt>
                <c:pt idx="18">
                  <c:v>-3.4999999999999996E-2</c:v>
                </c:pt>
                <c:pt idx="19">
                  <c:v>-3.3999999999999996E-2</c:v>
                </c:pt>
                <c:pt idx="20">
                  <c:v>-3.2999999999999995E-2</c:v>
                </c:pt>
                <c:pt idx="21">
                  <c:v>-3.1999999999999994E-2</c:v>
                </c:pt>
                <c:pt idx="22">
                  <c:v>-3.0999999999999993E-2</c:v>
                </c:pt>
                <c:pt idx="23">
                  <c:v>-2.9999999999999992E-2</c:v>
                </c:pt>
                <c:pt idx="24">
                  <c:v>-2.8999999999999991E-2</c:v>
                </c:pt>
                <c:pt idx="25">
                  <c:v>-2.799999999999999E-2</c:v>
                </c:pt>
                <c:pt idx="26">
                  <c:v>-2.6999999999999989E-2</c:v>
                </c:pt>
                <c:pt idx="27">
                  <c:v>-2.5999999999999988E-2</c:v>
                </c:pt>
                <c:pt idx="28">
                  <c:v>-2.4999999999999988E-2</c:v>
                </c:pt>
                <c:pt idx="29">
                  <c:v>-2.3999999999999987E-2</c:v>
                </c:pt>
                <c:pt idx="30">
                  <c:v>-2.2999999999999986E-2</c:v>
                </c:pt>
                <c:pt idx="31">
                  <c:v>-2.1999999999999985E-2</c:v>
                </c:pt>
                <c:pt idx="32">
                  <c:v>-2.0999999999999984E-2</c:v>
                </c:pt>
                <c:pt idx="33">
                  <c:v>-1.9999999999999983E-2</c:v>
                </c:pt>
                <c:pt idx="34">
                  <c:v>-1.8999999999999982E-2</c:v>
                </c:pt>
                <c:pt idx="35">
                  <c:v>-1.7999999999999981E-2</c:v>
                </c:pt>
                <c:pt idx="36">
                  <c:v>-1.699999999999998E-2</c:v>
                </c:pt>
                <c:pt idx="37">
                  <c:v>-1.599999999999998E-2</c:v>
                </c:pt>
                <c:pt idx="38">
                  <c:v>-1.4999999999999979E-2</c:v>
                </c:pt>
                <c:pt idx="39">
                  <c:v>-1.3999999999999978E-2</c:v>
                </c:pt>
                <c:pt idx="40">
                  <c:v>-1.2999999999999977E-2</c:v>
                </c:pt>
                <c:pt idx="41">
                  <c:v>-1.1999999999999976E-2</c:v>
                </c:pt>
                <c:pt idx="42">
                  <c:v>-1.0999999999999975E-2</c:v>
                </c:pt>
                <c:pt idx="43">
                  <c:v>-9.9999999999999742E-3</c:v>
                </c:pt>
                <c:pt idx="44">
                  <c:v>-8.9999999999999733E-3</c:v>
                </c:pt>
                <c:pt idx="45">
                  <c:v>-7.9999999999999724E-3</c:v>
                </c:pt>
                <c:pt idx="46">
                  <c:v>-6.9999999999999724E-3</c:v>
                </c:pt>
                <c:pt idx="47">
                  <c:v>-5.9999999999999724E-3</c:v>
                </c:pt>
                <c:pt idx="48">
                  <c:v>-4.9999999999999723E-3</c:v>
                </c:pt>
                <c:pt idx="49">
                  <c:v>-3.9999999999999723E-3</c:v>
                </c:pt>
                <c:pt idx="50">
                  <c:v>-2.9999999999999723E-3</c:v>
                </c:pt>
                <c:pt idx="51">
                  <c:v>-1.9999999999999723E-3</c:v>
                </c:pt>
                <c:pt idx="52">
                  <c:v>-9.9999999999997227E-4</c:v>
                </c:pt>
                <c:pt idx="53">
                  <c:v>2.7755575615628914E-17</c:v>
                </c:pt>
                <c:pt idx="54">
                  <c:v>1.0000000000000278E-3</c:v>
                </c:pt>
                <c:pt idx="55">
                  <c:v>2.0000000000000278E-3</c:v>
                </c:pt>
                <c:pt idx="56">
                  <c:v>3.0000000000000278E-3</c:v>
                </c:pt>
                <c:pt idx="57">
                  <c:v>4.0000000000000278E-3</c:v>
                </c:pt>
                <c:pt idx="58">
                  <c:v>5.0000000000000279E-3</c:v>
                </c:pt>
                <c:pt idx="59">
                  <c:v>6.0000000000000279E-3</c:v>
                </c:pt>
                <c:pt idx="60">
                  <c:v>7.0000000000000279E-3</c:v>
                </c:pt>
                <c:pt idx="61">
                  <c:v>8.0000000000000279E-3</c:v>
                </c:pt>
                <c:pt idx="62">
                  <c:v>9.0000000000000288E-3</c:v>
                </c:pt>
                <c:pt idx="63">
                  <c:v>1.000000000000003E-2</c:v>
                </c:pt>
                <c:pt idx="64">
                  <c:v>1.1000000000000031E-2</c:v>
                </c:pt>
                <c:pt idx="65">
                  <c:v>1.2000000000000031E-2</c:v>
                </c:pt>
                <c:pt idx="66">
                  <c:v>1.3000000000000032E-2</c:v>
                </c:pt>
                <c:pt idx="67">
                  <c:v>1.4000000000000033E-2</c:v>
                </c:pt>
                <c:pt idx="68">
                  <c:v>1.5000000000000034E-2</c:v>
                </c:pt>
                <c:pt idx="69">
                  <c:v>1.6000000000000035E-2</c:v>
                </c:pt>
                <c:pt idx="70">
                  <c:v>1.7000000000000036E-2</c:v>
                </c:pt>
                <c:pt idx="71">
                  <c:v>1.8000000000000037E-2</c:v>
                </c:pt>
                <c:pt idx="72">
                  <c:v>1.9000000000000038E-2</c:v>
                </c:pt>
                <c:pt idx="73">
                  <c:v>2.0000000000000039E-2</c:v>
                </c:pt>
                <c:pt idx="74">
                  <c:v>2.1000000000000039E-2</c:v>
                </c:pt>
                <c:pt idx="75">
                  <c:v>2.200000000000004E-2</c:v>
                </c:pt>
                <c:pt idx="76">
                  <c:v>2.3000000000000041E-2</c:v>
                </c:pt>
                <c:pt idx="77">
                  <c:v>2.4000000000000042E-2</c:v>
                </c:pt>
                <c:pt idx="78">
                  <c:v>2.5000000000000043E-2</c:v>
                </c:pt>
                <c:pt idx="79">
                  <c:v>2.6000000000000044E-2</c:v>
                </c:pt>
                <c:pt idx="80">
                  <c:v>2.7000000000000045E-2</c:v>
                </c:pt>
                <c:pt idx="81">
                  <c:v>2.8000000000000046E-2</c:v>
                </c:pt>
                <c:pt idx="82">
                  <c:v>2.9000000000000047E-2</c:v>
                </c:pt>
                <c:pt idx="83">
                  <c:v>3.0000000000000047E-2</c:v>
                </c:pt>
                <c:pt idx="84">
                  <c:v>3.1000000000000048E-2</c:v>
                </c:pt>
                <c:pt idx="85">
                  <c:v>3.2000000000000049E-2</c:v>
                </c:pt>
                <c:pt idx="86">
                  <c:v>3.300000000000005E-2</c:v>
                </c:pt>
                <c:pt idx="87">
                  <c:v>3.4000000000000051E-2</c:v>
                </c:pt>
                <c:pt idx="88">
                  <c:v>3.5000000000000052E-2</c:v>
                </c:pt>
                <c:pt idx="89">
                  <c:v>3.6000000000000053E-2</c:v>
                </c:pt>
                <c:pt idx="90">
                  <c:v>3.7000000000000054E-2</c:v>
                </c:pt>
                <c:pt idx="91">
                  <c:v>3.8000000000000055E-2</c:v>
                </c:pt>
                <c:pt idx="92">
                  <c:v>3.9000000000000055E-2</c:v>
                </c:pt>
                <c:pt idx="93">
                  <c:v>4.0000000000000056E-2</c:v>
                </c:pt>
                <c:pt idx="94">
                  <c:v>4.1000000000000057E-2</c:v>
                </c:pt>
                <c:pt idx="95">
                  <c:v>4.2000000000000058E-2</c:v>
                </c:pt>
                <c:pt idx="96">
                  <c:v>4.3000000000000059E-2</c:v>
                </c:pt>
                <c:pt idx="97">
                  <c:v>4.400000000000006E-2</c:v>
                </c:pt>
                <c:pt idx="98">
                  <c:v>4.5000000000000061E-2</c:v>
                </c:pt>
                <c:pt idx="99">
                  <c:v>4.6000000000000062E-2</c:v>
                </c:pt>
                <c:pt idx="100">
                  <c:v>4.7000000000000063E-2</c:v>
                </c:pt>
                <c:pt idx="101">
                  <c:v>4.8000000000000063E-2</c:v>
                </c:pt>
                <c:pt idx="102">
                  <c:v>4.9000000000000064E-2</c:v>
                </c:pt>
                <c:pt idx="103">
                  <c:v>5.0000000000000065E-2</c:v>
                </c:pt>
                <c:pt idx="104">
                  <c:v>5.1000000000000066E-2</c:v>
                </c:pt>
                <c:pt idx="105">
                  <c:v>5.2000000000000067E-2</c:v>
                </c:pt>
                <c:pt idx="106">
                  <c:v>5.3000000000000068E-2</c:v>
                </c:pt>
              </c:numCache>
            </c:numRef>
          </c:xVal>
          <c:yVal>
            <c:numRef>
              <c:f>'Notes | Quant Analysis'!$V$222:$V$328</c:f>
              <c:numCache>
                <c:formatCode>0.0000</c:formatCode>
                <c:ptCount val="107"/>
                <c:pt idx="0">
                  <c:v>0.1728512575411543</c:v>
                </c:pt>
                <c:pt idx="1">
                  <c:v>0.20748366016130584</c:v>
                </c:pt>
                <c:pt idx="2">
                  <c:v>0.24819470946750571</c:v>
                </c:pt>
                <c:pt idx="3">
                  <c:v>0.29586827589794307</c:v>
                </c:pt>
                <c:pt idx="4">
                  <c:v>0.35148074976457166</c:v>
                </c:pt>
                <c:pt idx="5">
                  <c:v>0.41610405619080482</c:v>
                </c:pt>
                <c:pt idx="6">
                  <c:v>0.49090744266745562</c:v>
                </c:pt>
                <c:pt idx="7">
                  <c:v>0.5771577686158027</c:v>
                </c:pt>
                <c:pt idx="8">
                  <c:v>0.67621801553040695</c:v>
                </c:pt>
                <c:pt idx="9">
                  <c:v>0.78954373191755345</c:v>
                </c:pt>
                <c:pt idx="10">
                  <c:v>0.9186771306659407</c:v>
                </c:pt>
                <c:pt idx="11">
                  <c:v>1.0652385689478403</c:v>
                </c:pt>
                <c:pt idx="12">
                  <c:v>1.2309151633985118</c:v>
                </c:pt>
                <c:pt idx="13">
                  <c:v>1.4174463271231565</c:v>
                </c:pt>
                <c:pt idx="14">
                  <c:v>1.6266060607441453</c:v>
                </c:pt>
                <c:pt idx="15">
                  <c:v>1.8601818876122451</c:v>
                </c:pt>
                <c:pt idx="16">
                  <c:v>2.119950393457056</c:v>
                </c:pt>
                <c:pt idx="17">
                  <c:v>2.4076494126827206</c:v>
                </c:pt>
                <c:pt idx="18">
                  <c:v>2.7249469962596682</c:v>
                </c:pt>
                <c:pt idx="19">
                  <c:v>3.0734073982151404</c:v>
                </c:pt>
                <c:pt idx="20">
                  <c:v>3.4544544270201611</c:v>
                </c:pt>
                <c:pt idx="21">
                  <c:v>3.8693326220902478</c:v>
                </c:pt>
                <c:pt idx="22">
                  <c:v>4.3190668310197449</c:v>
                </c:pt>
                <c:pt idx="23">
                  <c:v>4.8044208764463354</c:v>
                </c:pt>
                <c:pt idx="24">
                  <c:v>5.3258561086016565</c:v>
                </c:pt>
                <c:pt idx="25">
                  <c:v>5.8834907363844975</c:v>
                </c:pt>
                <c:pt idx="26">
                  <c:v>6.4770609118010292</c:v>
                </c:pt>
                <c:pt idx="27">
                  <c:v>7.1058846054858718</c:v>
                </c:pt>
                <c:pt idx="28">
                  <c:v>7.768829350587807</c:v>
                </c:pt>
                <c:pt idx="29">
                  <c:v>8.4642849448077602</c:v>
                </c:pt>
                <c:pt idx="30">
                  <c:v>9.1901421826328491</c:v>
                </c:pt>
                <c:pt idx="31">
                  <c:v>9.943778639409004</c:v>
                </c:pt>
                <c:pt idx="32">
                  <c:v>10.722052444369996</c:v>
                </c:pt>
                <c:pt idx="33">
                  <c:v>11.521304860717182</c:v>
                </c:pt>
                <c:pt idx="34">
                  <c:v>12.337372338152301</c:v>
                </c:pt>
                <c:pt idx="35">
                  <c:v>13.165608519012743</c:v>
                </c:pt>
                <c:pt idx="36">
                  <c:v>14.000916466754523</c:v>
                </c:pt>
                <c:pt idx="37">
                  <c:v>14.837791149653809</c:v>
                </c:pt>
                <c:pt idx="38">
                  <c:v>15.670371959118638</c:v>
                </c:pt>
                <c:pt idx="39">
                  <c:v>16.492504777825719</c:v>
                </c:pt>
                <c:pt idx="40">
                  <c:v>17.297812845771254</c:v>
                </c:pt>
                <c:pt idx="41">
                  <c:v>18.079775410593953</c:v>
                </c:pt>
                <c:pt idx="42">
                  <c:v>18.831812900842401</c:v>
                </c:pt>
                <c:pt idx="43">
                  <c:v>19.547377135855729</c:v>
                </c:pt>
                <c:pt idx="44">
                  <c:v>20.220044891894513</c:v>
                </c:pt>
                <c:pt idx="45">
                  <c:v>20.843612988700219</c:v>
                </c:pt>
                <c:pt idx="46">
                  <c:v>21.412192950363764</c:v>
                </c:pt>
                <c:pt idx="47">
                  <c:v>21.920303234523104</c:v>
                </c:pt>
                <c:pt idx="48">
                  <c:v>22.36295701819423</c:v>
                </c:pt>
                <c:pt idx="49">
                  <c:v>22.735743578911862</c:v>
                </c:pt>
                <c:pt idx="50">
                  <c:v>23.034901416357446</c:v>
                </c:pt>
                <c:pt idx="51">
                  <c:v>23.257381420371154</c:v>
                </c:pt>
                <c:pt idx="52">
                  <c:v>23.400898602335978</c:v>
                </c:pt>
                <c:pt idx="53">
                  <c:v>23.463971162714657</c:v>
                </c:pt>
                <c:pt idx="54">
                  <c:v>23.44594596069723</c:v>
                </c:pt>
                <c:pt idx="55">
                  <c:v>23.347009773772424</c:v>
                </c:pt>
                <c:pt idx="56">
                  <c:v>23.168186075788288</c:v>
                </c:pt>
                <c:pt idx="57">
                  <c:v>22.911317411223003</c:v>
                </c:pt>
                <c:pt idx="58">
                  <c:v>22.579033790134766</c:v>
                </c:pt>
                <c:pt idx="59">
                  <c:v>22.174707861879753</c:v>
                </c:pt>
                <c:pt idx="60">
                  <c:v>21.702397935955158</c:v>
                </c:pt>
                <c:pt idx="61">
                  <c:v>21.166780195894095</c:v>
                </c:pt>
                <c:pt idx="62">
                  <c:v>20.573071688886209</c:v>
                </c:pt>
                <c:pt idx="63">
                  <c:v>19.926945863108749</c:v>
                </c:pt>
                <c:pt idx="64">
                  <c:v>19.234442561749887</c:v>
                </c:pt>
                <c:pt idx="65">
                  <c:v>18.501874464394358</c:v>
                </c:pt>
                <c:pt idx="66">
                  <c:v>17.735731991779137</c:v>
                </c:pt>
                <c:pt idx="67">
                  <c:v>16.942588659811562</c:v>
                </c:pt>
                <c:pt idx="68">
                  <c:v>16.12900878592157</c:v>
                </c:pt>
                <c:pt idx="69">
                  <c:v>15.301459319725687</c:v>
                </c:pt>
                <c:pt idx="70">
                  <c:v>14.466227396506969</c:v>
                </c:pt>
                <c:pt idx="71">
                  <c:v>13.629345003238749</c:v>
                </c:pt>
                <c:pt idx="72">
                  <c:v>12.796521910749213</c:v>
                </c:pt>
                <c:pt idx="73">
                  <c:v>11.973087770624835</c:v>
                </c:pt>
                <c:pt idx="74">
                  <c:v>11.163944010266357</c:v>
                </c:pt>
                <c:pt idx="75">
                  <c:v>10.373525892694602</c:v>
                </c:pt>
                <c:pt idx="76">
                  <c:v>9.6057748473663693</c:v>
                </c:pt>
                <c:pt idx="77">
                  <c:v>8.8641209318070882</c:v>
                </c:pt>
                <c:pt idx="78">
                  <c:v>8.1514750577614024</c:v>
                </c:pt>
                <c:pt idx="79">
                  <c:v>7.4702304151597643</c:v>
                </c:pt>
                <c:pt idx="80">
                  <c:v>6.8222723566220287</c:v>
                </c:pt>
                <c:pt idx="81">
                  <c:v>6.2089958672992616</c:v>
                </c:pt>
                <c:pt idx="82">
                  <c:v>5.6313296411272047</c:v>
                </c:pt>
                <c:pt idx="83">
                  <c:v>5.0897657153118194</c:v>
                </c:pt>
                <c:pt idx="84">
                  <c:v>4.5843935792133159</c:v>
                </c:pt>
                <c:pt idx="85">
                  <c:v>4.1149376698345623</c:v>
                </c:pt>
                <c:pt idx="86">
                  <c:v>3.6807971910783581</c:v>
                </c:pt>
                <c:pt idx="87">
                  <c:v>3.2810872443503754</c:v>
                </c:pt>
                <c:pt idx="88">
                  <c:v>2.9146803299853197</c:v>
                </c:pt>
                <c:pt idx="89">
                  <c:v>2.5802473680883922</c:v>
                </c:pt>
                <c:pt idx="90">
                  <c:v>2.276297489312801</c:v>
                </c:pt>
                <c:pt idx="91">
                  <c:v>2.0012159564838274</c:v>
                </c:pt>
                <c:pt idx="92">
                  <c:v>1.7532996926730187</c:v>
                </c:pt>
                <c:pt idx="93">
                  <c:v>1.5307900064894613</c:v>
                </c:pt>
                <c:pt idx="94">
                  <c:v>1.3319022175780879</c:v>
                </c:pt>
                <c:pt idx="95">
                  <c:v>1.1548519916832618</c:v>
                </c:pt>
                <c:pt idx="96">
                  <c:v>0.99787829277514151</c:v>
                </c:pt>
                <c:pt idx="97">
                  <c:v>0.85926294783071699</c:v>
                </c:pt>
                <c:pt idx="98">
                  <c:v>0.73734689664809061</c:v>
                </c:pt>
                <c:pt idx="99">
                  <c:v>0.6305432638154751</c:v>
                </c:pt>
                <c:pt idx="100">
                  <c:v>0.53734744240308208</c:v>
                </c:pt>
                <c:pt idx="101">
                  <c:v>0.45634441927196029</c:v>
                </c:pt>
                <c:pt idx="102">
                  <c:v>0.3862136006372871</c:v>
                </c:pt>
                <c:pt idx="103">
                  <c:v>0.32573141451624132</c:v>
                </c:pt>
                <c:pt idx="104">
                  <c:v>0.27377197498622291</c:v>
                </c:pt>
                <c:pt idx="105">
                  <c:v>0.22930609298466192</c:v>
                </c:pt>
                <c:pt idx="106">
                  <c:v>0.19139891099172468</c:v>
                </c:pt>
              </c:numCache>
            </c:numRef>
          </c:yVal>
          <c:smooth val="1"/>
          <c:extLst>
            <c:ext xmlns:c16="http://schemas.microsoft.com/office/drawing/2014/chart" uri="{C3380CC4-5D6E-409C-BE32-E72D297353CC}">
              <c16:uniqueId val="{00000001-28C7-4862-86E9-AF862A5BA0AD}"/>
            </c:ext>
          </c:extLst>
        </c:ser>
        <c:ser>
          <c:idx val="2"/>
          <c:order val="2"/>
          <c:tx>
            <c:strRef>
              <c:f>'Notes | Quant Analysis'!$X$222</c:f>
              <c:strCache>
                <c:ptCount val="1"/>
                <c:pt idx="0">
                  <c:v>Mean</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28C7-4862-86E9-AF862A5BA0AD}"/>
                </c:ext>
              </c:extLst>
            </c:dLbl>
            <c:dLbl>
              <c:idx val="1"/>
              <c:layout>
                <c:manualLayout>
                  <c:x val="-6.354950948878943E-2"/>
                  <c:y val="-2.7191275766593945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0.11887875609942537"/>
                      <c:h val="7.5163838409421896E-2"/>
                    </c:manualLayout>
                  </c15:layout>
                </c:ext>
                <c:ext xmlns:c16="http://schemas.microsoft.com/office/drawing/2014/chart" uri="{C3380CC4-5D6E-409C-BE32-E72D297353CC}">
                  <c16:uniqueId val="{00000003-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Analysis'!$Y$222:$Y$223</c:f>
              <c:numCache>
                <c:formatCode>0.00%</c:formatCode>
                <c:ptCount val="2"/>
                <c:pt idx="0">
                  <c:v>2.7790103413030226E-4</c:v>
                </c:pt>
                <c:pt idx="1">
                  <c:v>2.7790103413030226E-4</c:v>
                </c:pt>
              </c:numCache>
            </c:numRef>
          </c:xVal>
          <c:yVal>
            <c:numRef>
              <c:f>'Notes | Quant Analysis'!$Z$222:$Z$223</c:f>
              <c:numCache>
                <c:formatCode>General</c:formatCode>
                <c:ptCount val="2"/>
                <c:pt idx="0">
                  <c:v>0</c:v>
                </c:pt>
                <c:pt idx="1">
                  <c:v>23.5</c:v>
                </c:pt>
              </c:numCache>
            </c:numRef>
          </c:yVal>
          <c:smooth val="1"/>
          <c:extLst>
            <c:ext xmlns:c16="http://schemas.microsoft.com/office/drawing/2014/chart" uri="{C3380CC4-5D6E-409C-BE32-E72D297353CC}">
              <c16:uniqueId val="{00000004-28C7-4862-86E9-AF862A5BA0AD}"/>
            </c:ext>
          </c:extLst>
        </c:ser>
        <c:ser>
          <c:idx val="3"/>
          <c:order val="3"/>
          <c:tx>
            <c:strRef>
              <c:f>'Notes | Quant Analysis'!$X$224</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5-28C7-4862-86E9-AF862A5BA0AD}"/>
                </c:ext>
              </c:extLst>
            </c:dLbl>
            <c:dLbl>
              <c:idx val="1"/>
              <c:layout>
                <c:manualLayout>
                  <c:x val="-4.2269038483641469E-2"/>
                  <c:y val="-4.9259992919763074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6-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Analysis'!$Y$224:$Y$225</c:f>
              <c:numCache>
                <c:formatCode>0.0%</c:formatCode>
                <c:ptCount val="2"/>
                <c:pt idx="0">
                  <c:v>-5.0722286945717059E-2</c:v>
                </c:pt>
                <c:pt idx="1">
                  <c:v>-5.0722286945717059E-2</c:v>
                </c:pt>
              </c:numCache>
            </c:numRef>
          </c:xVal>
          <c:yVal>
            <c:numRef>
              <c:f>'Notes | Quant Analysis'!$Z$224:$Z$225</c:f>
              <c:numCache>
                <c:formatCode>General</c:formatCode>
                <c:ptCount val="2"/>
                <c:pt idx="0">
                  <c:v>0</c:v>
                </c:pt>
                <c:pt idx="1">
                  <c:v>2</c:v>
                </c:pt>
              </c:numCache>
            </c:numRef>
          </c:yVal>
          <c:smooth val="1"/>
          <c:extLst>
            <c:ext xmlns:c16="http://schemas.microsoft.com/office/drawing/2014/chart" uri="{C3380CC4-5D6E-409C-BE32-E72D297353CC}">
              <c16:uniqueId val="{00000007-28C7-4862-86E9-AF862A5BA0AD}"/>
            </c:ext>
          </c:extLst>
        </c:ser>
        <c:ser>
          <c:idx val="4"/>
          <c:order val="4"/>
          <c:tx>
            <c:strRef>
              <c:f>'Notes | Quant Analysis'!$X$226</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8-28C7-4862-86E9-AF862A5BA0AD}"/>
                </c:ext>
              </c:extLst>
            </c:dLbl>
            <c:dLbl>
              <c:idx val="1"/>
              <c:layout>
                <c:manualLayout>
                  <c:x val="-5.6977280688777963E-2"/>
                  <c:y val="-3.4883838064044485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9-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Analysis'!$Y$226:$Y$227</c:f>
              <c:numCache>
                <c:formatCode>0.0%</c:formatCode>
                <c:ptCount val="2"/>
                <c:pt idx="0">
                  <c:v>-3.3722224285767939E-2</c:v>
                </c:pt>
                <c:pt idx="1">
                  <c:v>-3.3722224285767939E-2</c:v>
                </c:pt>
              </c:numCache>
            </c:numRef>
          </c:xVal>
          <c:yVal>
            <c:numRef>
              <c:f>'Notes | Quant Analysis'!$Z$226:$Z$227</c:f>
              <c:numCache>
                <c:formatCode>General</c:formatCode>
                <c:ptCount val="2"/>
                <c:pt idx="0">
                  <c:v>0</c:v>
                </c:pt>
                <c:pt idx="1">
                  <c:v>4</c:v>
                </c:pt>
              </c:numCache>
            </c:numRef>
          </c:yVal>
          <c:smooth val="1"/>
          <c:extLst>
            <c:ext xmlns:c16="http://schemas.microsoft.com/office/drawing/2014/chart" uri="{C3380CC4-5D6E-409C-BE32-E72D297353CC}">
              <c16:uniqueId val="{0000000A-28C7-4862-86E9-AF862A5BA0AD}"/>
            </c:ext>
          </c:extLst>
        </c:ser>
        <c:ser>
          <c:idx val="5"/>
          <c:order val="5"/>
          <c:tx>
            <c:strRef>
              <c:f>'Notes | Quant Analysis'!$X$228</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B-28C7-4862-86E9-AF862A5BA0AD}"/>
                </c:ext>
              </c:extLst>
            </c:dLbl>
            <c:dLbl>
              <c:idx val="1"/>
              <c:layout>
                <c:manualLayout>
                  <c:x val="-6.0703138332464997E-2"/>
                  <c:y val="-6.6566085970575881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C-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Analysis'!$Y$228:$Y$229</c:f>
              <c:numCache>
                <c:formatCode>0.0%</c:formatCode>
                <c:ptCount val="2"/>
                <c:pt idx="0">
                  <c:v>-1.6722161625818816E-2</c:v>
                </c:pt>
                <c:pt idx="1">
                  <c:v>-1.6722161625818816E-2</c:v>
                </c:pt>
              </c:numCache>
            </c:numRef>
          </c:xVal>
          <c:yVal>
            <c:numRef>
              <c:f>'Notes | Quant Analysis'!$Z$228:$Z$229</c:f>
              <c:numCache>
                <c:formatCode>General</c:formatCode>
                <c:ptCount val="2"/>
                <c:pt idx="0">
                  <c:v>0</c:v>
                </c:pt>
                <c:pt idx="1">
                  <c:v>14</c:v>
                </c:pt>
              </c:numCache>
            </c:numRef>
          </c:yVal>
          <c:smooth val="1"/>
          <c:extLst>
            <c:ext xmlns:c16="http://schemas.microsoft.com/office/drawing/2014/chart" uri="{C3380CC4-5D6E-409C-BE32-E72D297353CC}">
              <c16:uniqueId val="{0000000D-28C7-4862-86E9-AF862A5BA0AD}"/>
            </c:ext>
          </c:extLst>
        </c:ser>
        <c:ser>
          <c:idx val="6"/>
          <c:order val="6"/>
          <c:tx>
            <c:strRef>
              <c:f>'Notes | Quant Analysis'!$X$230</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E-28C7-4862-86E9-AF862A5BA0AD}"/>
                </c:ext>
              </c:extLst>
            </c:dLbl>
            <c:dLbl>
              <c:idx val="1"/>
              <c:layout>
                <c:manualLayout>
                  <c:x val="-2.8900648863924454E-2"/>
                  <c:y val="-4.8591004069697248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0-EE2D-40A7-A22D-BAD8FA8D64D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Analysis'!$Y$230:$Y$231</c:f>
              <c:numCache>
                <c:formatCode>0.0%</c:formatCode>
                <c:ptCount val="2"/>
                <c:pt idx="0">
                  <c:v>1.7277963694079423E-2</c:v>
                </c:pt>
                <c:pt idx="1">
                  <c:v>1.7277963694079423E-2</c:v>
                </c:pt>
              </c:numCache>
            </c:numRef>
          </c:xVal>
          <c:yVal>
            <c:numRef>
              <c:f>'Notes | Quant Analysis'!$Z$230:$Z$231</c:f>
              <c:numCache>
                <c:formatCode>General</c:formatCode>
                <c:ptCount val="2"/>
                <c:pt idx="0">
                  <c:v>0</c:v>
                </c:pt>
                <c:pt idx="1">
                  <c:v>14</c:v>
                </c:pt>
              </c:numCache>
            </c:numRef>
          </c:yVal>
          <c:smooth val="1"/>
          <c:extLst>
            <c:ext xmlns:c16="http://schemas.microsoft.com/office/drawing/2014/chart" uri="{C3380CC4-5D6E-409C-BE32-E72D297353CC}">
              <c16:uniqueId val="{0000000F-28C7-4862-86E9-AF862A5BA0AD}"/>
            </c:ext>
          </c:extLst>
        </c:ser>
        <c:ser>
          <c:idx val="7"/>
          <c:order val="7"/>
          <c:tx>
            <c:strRef>
              <c:f>'Notes | Quant Analysis'!$X$232</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0-28C7-4862-86E9-AF862A5BA0AD}"/>
                </c:ext>
              </c:extLst>
            </c:dLbl>
            <c:dLbl>
              <c:idx val="1"/>
              <c:layout>
                <c:manualLayout>
                  <c:x val="-3.9415335053885017E-2"/>
                  <c:y val="-3.5181726081175202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1-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Analysis'!$Y$232:$Y$233</c:f>
              <c:numCache>
                <c:formatCode>0.0%</c:formatCode>
                <c:ptCount val="2"/>
                <c:pt idx="0">
                  <c:v>3.4278026354028539E-2</c:v>
                </c:pt>
                <c:pt idx="1">
                  <c:v>3.4278026354028539E-2</c:v>
                </c:pt>
              </c:numCache>
            </c:numRef>
          </c:xVal>
          <c:yVal>
            <c:numRef>
              <c:f>'Notes | Quant Analysis'!$Z$232:$Z$233</c:f>
              <c:numCache>
                <c:formatCode>General</c:formatCode>
                <c:ptCount val="2"/>
                <c:pt idx="0">
                  <c:v>0</c:v>
                </c:pt>
                <c:pt idx="1">
                  <c:v>4</c:v>
                </c:pt>
              </c:numCache>
            </c:numRef>
          </c:yVal>
          <c:smooth val="1"/>
          <c:extLst>
            <c:ext xmlns:c16="http://schemas.microsoft.com/office/drawing/2014/chart" uri="{C3380CC4-5D6E-409C-BE32-E72D297353CC}">
              <c16:uniqueId val="{00000012-28C7-4862-86E9-AF862A5BA0AD}"/>
            </c:ext>
          </c:extLst>
        </c:ser>
        <c:ser>
          <c:idx val="8"/>
          <c:order val="8"/>
          <c:tx>
            <c:strRef>
              <c:f>'Notes | Quant Analysis'!$X$234</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3-28C7-4862-86E9-AF862A5BA0AD}"/>
                </c:ext>
              </c:extLst>
            </c:dLbl>
            <c:dLbl>
              <c:idx val="1"/>
              <c:layout>
                <c:manualLayout>
                  <c:x val="-3.7263945307374549E-2"/>
                  <c:y val="-2.8866938105819522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4-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Analysis'!$Y$234:$Y$235</c:f>
              <c:numCache>
                <c:formatCode>0.0%</c:formatCode>
                <c:ptCount val="2"/>
                <c:pt idx="0">
                  <c:v>5.1278089013977658E-2</c:v>
                </c:pt>
                <c:pt idx="1">
                  <c:v>5.1278089013977658E-2</c:v>
                </c:pt>
              </c:numCache>
            </c:numRef>
          </c:xVal>
          <c:yVal>
            <c:numRef>
              <c:f>'Notes | Quant Analysis'!$Z$234:$Z$235</c:f>
              <c:numCache>
                <c:formatCode>General</c:formatCode>
                <c:ptCount val="2"/>
                <c:pt idx="0">
                  <c:v>0</c:v>
                </c:pt>
                <c:pt idx="1">
                  <c:v>2</c:v>
                </c:pt>
              </c:numCache>
            </c:numRef>
          </c:yVal>
          <c:smooth val="1"/>
          <c:extLst>
            <c:ext xmlns:c16="http://schemas.microsoft.com/office/drawing/2014/chart" uri="{C3380CC4-5D6E-409C-BE32-E72D297353CC}">
              <c16:uniqueId val="{00000015-28C7-4862-86E9-AF862A5BA0AD}"/>
            </c:ext>
          </c:extLst>
        </c:ser>
        <c:dLbls>
          <c:showLegendKey val="0"/>
          <c:showVal val="0"/>
          <c:showCatName val="0"/>
          <c:showSerName val="0"/>
          <c:showPercent val="0"/>
          <c:showBubbleSize val="0"/>
        </c:dLbls>
        <c:axId val="1274098191"/>
        <c:axId val="1274092911"/>
      </c:scatterChart>
      <c:valAx>
        <c:axId val="1274098191"/>
        <c:scaling>
          <c:orientation val="minMax"/>
          <c:max val="6.0000000000000012E-2"/>
          <c:min val="-6.0000000000000012E-2"/>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2911"/>
        <c:crossesAt val="0"/>
        <c:crossBetween val="midCat"/>
        <c:majorUnit val="1.0000000000000002E-2"/>
        <c:minorUnit val="2.5000000000000005E-3"/>
      </c:valAx>
      <c:valAx>
        <c:axId val="127409291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8191"/>
        <c:crossesAt val="-1000"/>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(ISRG) Annual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c:spPr>
          <c:invertIfNegative val="0"/>
          <c:cat>
            <c:strRef>
              <c:f>Model!$AU$1:$BP$1</c:f>
              <c:strCache>
                <c:ptCount val="21"/>
                <c:pt idx="0">
                  <c:v>Q1 2020</c:v>
                </c:pt>
                <c:pt idx="4">
                  <c:v>Q1 2021</c:v>
                </c:pt>
                <c:pt idx="8">
                  <c:v>Q1 2022</c:v>
                </c:pt>
                <c:pt idx="12">
                  <c:v>Q1 2023</c:v>
                </c:pt>
                <c:pt idx="16">
                  <c:v>Q1 2024</c:v>
                </c:pt>
                <c:pt idx="20">
                  <c:v>Q1 2025</c:v>
                </c:pt>
              </c:strCache>
            </c:strRef>
          </c:cat>
          <c:val>
            <c:numRef>
              <c:f>Model!$CA$27:$CQ$27</c:f>
              <c:numCache>
                <c:formatCode>0</c:formatCode>
                <c:ptCount val="17"/>
                <c:pt idx="0">
                  <c:v>232.60000000000008</c:v>
                </c:pt>
                <c:pt idx="1">
                  <c:v>381.79999999999995</c:v>
                </c:pt>
                <c:pt idx="2">
                  <c:v>495.1</c:v>
                </c:pt>
                <c:pt idx="3">
                  <c:v>656.59999999999991</c:v>
                </c:pt>
                <c:pt idx="4">
                  <c:v>671</c:v>
                </c:pt>
                <c:pt idx="5">
                  <c:v>418.8</c:v>
                </c:pt>
                <c:pt idx="6">
                  <c:v>588.80000000000007</c:v>
                </c:pt>
                <c:pt idx="7">
                  <c:v>738.3</c:v>
                </c:pt>
                <c:pt idx="8">
                  <c:v>670.89999999999986</c:v>
                </c:pt>
                <c:pt idx="9">
                  <c:v>1124.9999999999998</c:v>
                </c:pt>
                <c:pt idx="10">
                  <c:v>1381.8000000000002</c:v>
                </c:pt>
                <c:pt idx="11">
                  <c:v>1066.8</c:v>
                </c:pt>
                <c:pt idx="12">
                  <c:v>1728.1000000000001</c:v>
                </c:pt>
                <c:pt idx="13">
                  <c:v>1344.4000000000003</c:v>
                </c:pt>
                <c:pt idx="14">
                  <c:v>1817.3000000000006</c:v>
                </c:pt>
                <c:pt idx="15">
                  <c:v>2337.5</c:v>
                </c:pt>
                <c:pt idx="16">
                  <c:v>2877.7</c:v>
                </c:pt>
              </c:numCache>
            </c:numRef>
          </c:val>
          <c:extLst>
            <c:ext xmlns:c16="http://schemas.microsoft.com/office/drawing/2014/chart" uri="{C3380CC4-5D6E-409C-BE32-E72D297353CC}">
              <c16:uniqueId val="{00000000-1871-4A59-9AFE-443C77A2D407}"/>
            </c:ext>
          </c:extLst>
        </c:ser>
        <c:ser>
          <c:idx val="2"/>
          <c:order val="2"/>
          <c:tx>
            <c:v>FCF</c:v>
          </c:tx>
          <c:spPr>
            <a:solidFill>
              <a:srgbClr val="FFC000"/>
            </a:solidFill>
            <a:ln>
              <a:noFill/>
            </a:ln>
          </c:spPr>
          <c:invertIfNegative val="0"/>
          <c:cat>
            <c:strRef>
              <c:f>Model!$AU$1:$BP$1</c:f>
              <c:strCache>
                <c:ptCount val="21"/>
                <c:pt idx="0">
                  <c:v>Q1 2020</c:v>
                </c:pt>
                <c:pt idx="4">
                  <c:v>Q1 2021</c:v>
                </c:pt>
                <c:pt idx="8">
                  <c:v>Q1 2022</c:v>
                </c:pt>
                <c:pt idx="12">
                  <c:v>Q1 2023</c:v>
                </c:pt>
                <c:pt idx="16">
                  <c:v>Q1 2024</c:v>
                </c:pt>
                <c:pt idx="20">
                  <c:v>Q1 2025</c:v>
                </c:pt>
              </c:strCache>
            </c:strRef>
          </c:cat>
          <c:val>
            <c:numRef>
              <c:f>Model!$CA$71:$CQ$71</c:f>
              <c:numCache>
                <c:formatCode>0</c:formatCode>
                <c:ptCount val="17"/>
                <c:pt idx="0">
                  <c:v>324.39999999999998</c:v>
                </c:pt>
                <c:pt idx="1">
                  <c:v>487</c:v>
                </c:pt>
                <c:pt idx="2">
                  <c:v>594.70000000000005</c:v>
                </c:pt>
                <c:pt idx="3">
                  <c:v>700.00000000000011</c:v>
                </c:pt>
                <c:pt idx="4">
                  <c:v>775.40000000000009</c:v>
                </c:pt>
                <c:pt idx="5">
                  <c:v>559.5</c:v>
                </c:pt>
                <c:pt idx="6">
                  <c:v>725.2</c:v>
                </c:pt>
                <c:pt idx="7">
                  <c:v>1033.0999999999999</c:v>
                </c:pt>
                <c:pt idx="8">
                  <c:v>953.2</c:v>
                </c:pt>
                <c:pt idx="9">
                  <c:v>982.19999999999993</c:v>
                </c:pt>
                <c:pt idx="10">
                  <c:v>1172.4000000000001</c:v>
                </c:pt>
                <c:pt idx="11">
                  <c:v>1143.3000000000002</c:v>
                </c:pt>
                <c:pt idx="12">
                  <c:v>1749.9</c:v>
                </c:pt>
                <c:pt idx="13">
                  <c:v>958.40000000000009</c:v>
                </c:pt>
                <c:pt idx="14">
                  <c:v>749.59999999999991</c:v>
                </c:pt>
                <c:pt idx="15">
                  <c:v>1303.8000000000002</c:v>
                </c:pt>
                <c:pt idx="16">
                  <c:v>2490.6999999999998</c:v>
                </c:pt>
              </c:numCache>
            </c:numRef>
          </c:val>
          <c:extLst>
            <c:ext xmlns:c16="http://schemas.microsoft.com/office/drawing/2014/chart" uri="{C3380CC4-5D6E-409C-BE32-E72D297353CC}">
              <c16:uniqueId val="{00000001-1871-4A59-9AFE-443C77A2D407}"/>
            </c:ext>
          </c:extLst>
        </c:ser>
        <c:dLbls>
          <c:showLegendKey val="0"/>
          <c:showVal val="0"/>
          <c:showCatName val="0"/>
          <c:showSerName val="0"/>
          <c:showPercent val="0"/>
          <c:showBubbleSize val="0"/>
        </c:dLbls>
        <c:gapWidth val="57"/>
        <c:axId val="1243124976"/>
        <c:axId val="1243123056"/>
      </c:barChart>
      <c:lineChart>
        <c:grouping val="standard"/>
        <c:varyColors val="0"/>
        <c:ser>
          <c:idx val="0"/>
          <c:order val="0"/>
          <c:tx>
            <c:v>Revenues</c:v>
          </c:tx>
          <c:spPr>
            <a:ln w="28575">
              <a:solidFill>
                <a:srgbClr val="00B0F0"/>
              </a:solidFill>
            </a:ln>
          </c:spPr>
          <c:marker>
            <c:symbol val="none"/>
          </c:marker>
          <c:cat>
            <c:numRef>
              <c:f>Model!$CA$3:$CQ$3</c:f>
              <c:numCache>
                <c:formatCode>General</c:formatCode>
                <c:ptCount val="17"/>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pt idx="14">
                  <c:v>2023</c:v>
                </c:pt>
                <c:pt idx="15">
                  <c:v>2024</c:v>
                </c:pt>
                <c:pt idx="16">
                  <c:v>2025</c:v>
                </c:pt>
              </c:numCache>
            </c:numRef>
          </c:cat>
          <c:val>
            <c:numRef>
              <c:f>Model!$CA$18:$CQ$18</c:f>
              <c:numCache>
                <c:formatCode>0</c:formatCode>
                <c:ptCount val="17"/>
                <c:pt idx="0">
                  <c:v>1052.2</c:v>
                </c:pt>
                <c:pt idx="1">
                  <c:v>1413</c:v>
                </c:pt>
                <c:pt idx="2">
                  <c:v>1757.3</c:v>
                </c:pt>
                <c:pt idx="3">
                  <c:v>2178.8000000000002</c:v>
                </c:pt>
                <c:pt idx="4">
                  <c:v>2265.1000000000004</c:v>
                </c:pt>
                <c:pt idx="5">
                  <c:v>2131.6999999999998</c:v>
                </c:pt>
                <c:pt idx="6">
                  <c:v>2384.4</c:v>
                </c:pt>
                <c:pt idx="7">
                  <c:v>2706.5</c:v>
                </c:pt>
                <c:pt idx="8">
                  <c:v>3138.2</c:v>
                </c:pt>
                <c:pt idx="9">
                  <c:v>3724.2</c:v>
                </c:pt>
                <c:pt idx="10">
                  <c:v>4478.5</c:v>
                </c:pt>
                <c:pt idx="11">
                  <c:v>4358.3999999999996</c:v>
                </c:pt>
                <c:pt idx="12">
                  <c:v>5710.1</c:v>
                </c:pt>
                <c:pt idx="13">
                  <c:v>6222.2000000000007</c:v>
                </c:pt>
                <c:pt idx="14">
                  <c:v>7124.1000000000013</c:v>
                </c:pt>
                <c:pt idx="15">
                  <c:v>8352.1</c:v>
                </c:pt>
                <c:pt idx="16">
                  <c:v>10064.799999999999</c:v>
                </c:pt>
              </c:numCache>
            </c:numRef>
          </c:val>
          <c:smooth val="0"/>
          <c:extLst>
            <c:ext xmlns:c16="http://schemas.microsoft.com/office/drawing/2014/chart" uri="{C3380CC4-5D6E-409C-BE32-E72D297353CC}">
              <c16:uniqueId val="{00000002-1871-4A59-9AFE-443C77A2D407}"/>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4.xml"/><Relationship Id="rId3" Type="http://schemas.openxmlformats.org/officeDocument/2006/relationships/image" Target="../media/image2.png"/><Relationship Id="rId7" Type="http://schemas.openxmlformats.org/officeDocument/2006/relationships/image" Target="../media/image5.png"/><Relationship Id="rId12" Type="http://schemas.openxmlformats.org/officeDocument/2006/relationships/image" Target="../media/image10.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png"/><Relationship Id="rId11" Type="http://schemas.openxmlformats.org/officeDocument/2006/relationships/image" Target="../media/image9.png"/><Relationship Id="rId5" Type="http://schemas.openxmlformats.org/officeDocument/2006/relationships/chart" Target="../charts/chart3.xml"/><Relationship Id="rId10" Type="http://schemas.openxmlformats.org/officeDocument/2006/relationships/image" Target="../media/image8.png"/><Relationship Id="rId4" Type="http://schemas.openxmlformats.org/officeDocument/2006/relationships/image" Target="../media/image3.png"/><Relationship Id="rId9"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7</xdr:col>
      <xdr:colOff>11206</xdr:colOff>
      <xdr:row>4</xdr:row>
      <xdr:rowOff>11205</xdr:rowOff>
    </xdr:from>
    <xdr:to>
      <xdr:col>9</xdr:col>
      <xdr:colOff>605117</xdr:colOff>
      <xdr:row>9</xdr:row>
      <xdr:rowOff>179293</xdr:rowOff>
    </xdr:to>
    <xdr:pic>
      <xdr:nvPicPr>
        <xdr:cNvPr id="2" name="Picture 1">
          <a:extLst>
            <a:ext uri="{FF2B5EF4-FFF2-40B4-BE49-F238E27FC236}">
              <a16:creationId xmlns:a16="http://schemas.microsoft.com/office/drawing/2014/main" id="{DBBF514E-EBC6-FE10-5E42-0FF8712FCE0C}"/>
            </a:ext>
          </a:extLst>
        </xdr:cNvPr>
        <xdr:cNvPicPr>
          <a:picLocks noChangeAspect="1"/>
        </xdr:cNvPicPr>
      </xdr:nvPicPr>
      <xdr:blipFill>
        <a:blip xmlns:r="http://schemas.openxmlformats.org/officeDocument/2006/relationships" r:embed="rId1"/>
        <a:stretch>
          <a:fillRect/>
        </a:stretch>
      </xdr:blipFill>
      <xdr:spPr>
        <a:xfrm>
          <a:off x="4437530" y="761999"/>
          <a:ext cx="1804146" cy="106455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73</xdr:col>
      <xdr:colOff>4765</xdr:colOff>
      <xdr:row>0</xdr:row>
      <xdr:rowOff>0</xdr:rowOff>
    </xdr:from>
    <xdr:to>
      <xdr:col>73</xdr:col>
      <xdr:colOff>4765</xdr:colOff>
      <xdr:row>95</xdr:row>
      <xdr:rowOff>152400</xdr:rowOff>
    </xdr:to>
    <xdr:cxnSp macro="">
      <xdr:nvCxnSpPr>
        <xdr:cNvPr id="2" name="Straight Connector 1">
          <a:extLst>
            <a:ext uri="{FF2B5EF4-FFF2-40B4-BE49-F238E27FC236}">
              <a16:creationId xmlns:a16="http://schemas.microsoft.com/office/drawing/2014/main" id="{1D82459E-58B3-42DB-9684-9D533E1F9712}"/>
            </a:ext>
          </a:extLst>
        </xdr:cNvPr>
        <xdr:cNvCxnSpPr/>
      </xdr:nvCxnSpPr>
      <xdr:spPr>
        <a:xfrm>
          <a:off x="45612706" y="0"/>
          <a:ext cx="0" cy="1734222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95</xdr:col>
      <xdr:colOff>0</xdr:colOff>
      <xdr:row>0</xdr:row>
      <xdr:rowOff>0</xdr:rowOff>
    </xdr:from>
    <xdr:to>
      <xdr:col>95</xdr:col>
      <xdr:colOff>0</xdr:colOff>
      <xdr:row>94</xdr:row>
      <xdr:rowOff>76200</xdr:rowOff>
    </xdr:to>
    <xdr:cxnSp macro="">
      <xdr:nvCxnSpPr>
        <xdr:cNvPr id="3" name="Straight Connector 2">
          <a:extLst>
            <a:ext uri="{FF2B5EF4-FFF2-40B4-BE49-F238E27FC236}">
              <a16:creationId xmlns:a16="http://schemas.microsoft.com/office/drawing/2014/main" id="{1001E5F4-1B9E-487D-83F1-747CF5EB542B}"/>
            </a:ext>
          </a:extLst>
        </xdr:cNvPr>
        <xdr:cNvCxnSpPr/>
      </xdr:nvCxnSpPr>
      <xdr:spPr>
        <a:xfrm>
          <a:off x="64208025" y="0"/>
          <a:ext cx="0" cy="235172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17</xdr:col>
      <xdr:colOff>0</xdr:colOff>
      <xdr:row>70</xdr:row>
      <xdr:rowOff>190499</xdr:rowOff>
    </xdr:from>
    <xdr:to>
      <xdr:col>32</xdr:col>
      <xdr:colOff>0</xdr:colOff>
      <xdr:row>101</xdr:row>
      <xdr:rowOff>180974</xdr:rowOff>
    </xdr:to>
    <xdr:graphicFrame macro="">
      <xdr:nvGraphicFramePr>
        <xdr:cNvPr id="2" name="Chart 1">
          <a:extLst>
            <a:ext uri="{FF2B5EF4-FFF2-40B4-BE49-F238E27FC236}">
              <a16:creationId xmlns:a16="http://schemas.microsoft.com/office/drawing/2014/main" id="{142CD92D-8EF4-4572-94B5-6164D3957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0</xdr:colOff>
      <xdr:row>107</xdr:row>
      <xdr:rowOff>0</xdr:rowOff>
    </xdr:from>
    <xdr:to>
      <xdr:col>32</xdr:col>
      <xdr:colOff>0</xdr:colOff>
      <xdr:row>135</xdr:row>
      <xdr:rowOff>0</xdr:rowOff>
    </xdr:to>
    <xdr:graphicFrame macro="">
      <xdr:nvGraphicFramePr>
        <xdr:cNvPr id="3" name="Chart 2">
          <a:extLst>
            <a:ext uri="{FF2B5EF4-FFF2-40B4-BE49-F238E27FC236}">
              <a16:creationId xmlns:a16="http://schemas.microsoft.com/office/drawing/2014/main" id="{211860B7-2944-492B-8E4C-F0D96D28C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0</xdr:colOff>
      <xdr:row>36</xdr:row>
      <xdr:rowOff>11206</xdr:rowOff>
    </xdr:from>
    <xdr:to>
      <xdr:col>27</xdr:col>
      <xdr:colOff>11206</xdr:colOff>
      <xdr:row>65</xdr:row>
      <xdr:rowOff>156883</xdr:rowOff>
    </xdr:to>
    <xdr:pic>
      <xdr:nvPicPr>
        <xdr:cNvPr id="6" name="Picture 5">
          <a:extLst>
            <a:ext uri="{FF2B5EF4-FFF2-40B4-BE49-F238E27FC236}">
              <a16:creationId xmlns:a16="http://schemas.microsoft.com/office/drawing/2014/main" id="{21AAB6F6-C8F7-2FF7-853D-54E5601CE9E7}"/>
            </a:ext>
          </a:extLst>
        </xdr:cNvPr>
        <xdr:cNvPicPr>
          <a:picLocks noChangeAspect="1"/>
        </xdr:cNvPicPr>
      </xdr:nvPicPr>
      <xdr:blipFill>
        <a:blip xmlns:r="http://schemas.openxmlformats.org/officeDocument/2006/relationships" r:embed="rId3"/>
        <a:stretch>
          <a:fillRect/>
        </a:stretch>
      </xdr:blipFill>
      <xdr:spPr>
        <a:xfrm>
          <a:off x="212912" y="6712324"/>
          <a:ext cx="6062382" cy="5367618"/>
        </a:xfrm>
        <a:prstGeom prst="rect">
          <a:avLst/>
        </a:prstGeom>
      </xdr:spPr>
    </xdr:pic>
    <xdr:clientData/>
  </xdr:twoCellAnchor>
  <xdr:twoCellAnchor editAs="oneCell">
    <xdr:from>
      <xdr:col>26</xdr:col>
      <xdr:colOff>537881</xdr:colOff>
      <xdr:row>2</xdr:row>
      <xdr:rowOff>11207</xdr:rowOff>
    </xdr:from>
    <xdr:to>
      <xdr:col>37</xdr:col>
      <xdr:colOff>0</xdr:colOff>
      <xdr:row>31</xdr:row>
      <xdr:rowOff>33617</xdr:rowOff>
    </xdr:to>
    <xdr:pic>
      <xdr:nvPicPr>
        <xdr:cNvPr id="7" name="Picture 6">
          <a:extLst>
            <a:ext uri="{FF2B5EF4-FFF2-40B4-BE49-F238E27FC236}">
              <a16:creationId xmlns:a16="http://schemas.microsoft.com/office/drawing/2014/main" id="{9CB62743-AE81-907D-9AE7-9C65B901C77C}"/>
            </a:ext>
          </a:extLst>
        </xdr:cNvPr>
        <xdr:cNvPicPr>
          <a:picLocks noChangeAspect="1"/>
        </xdr:cNvPicPr>
      </xdr:nvPicPr>
      <xdr:blipFill>
        <a:blip xmlns:r="http://schemas.openxmlformats.org/officeDocument/2006/relationships" r:embed="rId4"/>
        <a:stretch>
          <a:fillRect/>
        </a:stretch>
      </xdr:blipFill>
      <xdr:spPr>
        <a:xfrm>
          <a:off x="6233831" y="382682"/>
          <a:ext cx="6167719" cy="5265643"/>
        </a:xfrm>
        <a:prstGeom prst="rect">
          <a:avLst/>
        </a:prstGeom>
      </xdr:spPr>
    </xdr:pic>
    <xdr:clientData/>
  </xdr:twoCellAnchor>
  <xdr:twoCellAnchor>
    <xdr:from>
      <xdr:col>17</xdr:col>
      <xdr:colOff>1</xdr:colOff>
      <xdr:row>173</xdr:row>
      <xdr:rowOff>0</xdr:rowOff>
    </xdr:from>
    <xdr:to>
      <xdr:col>32</xdr:col>
      <xdr:colOff>0</xdr:colOff>
      <xdr:row>205</xdr:row>
      <xdr:rowOff>0</xdr:rowOff>
    </xdr:to>
    <xdr:graphicFrame macro="">
      <xdr:nvGraphicFramePr>
        <xdr:cNvPr id="8" name="Chart 7">
          <a:extLst>
            <a:ext uri="{FF2B5EF4-FFF2-40B4-BE49-F238E27FC236}">
              <a16:creationId xmlns:a16="http://schemas.microsoft.com/office/drawing/2014/main" id="{AC23D645-51D0-47A7-889E-F91A8D6706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9526</xdr:colOff>
      <xdr:row>2</xdr:row>
      <xdr:rowOff>9525</xdr:rowOff>
    </xdr:from>
    <xdr:to>
      <xdr:col>27</xdr:col>
      <xdr:colOff>9526</xdr:colOff>
      <xdr:row>31</xdr:row>
      <xdr:rowOff>27559</xdr:rowOff>
    </xdr:to>
    <xdr:pic>
      <xdr:nvPicPr>
        <xdr:cNvPr id="4" name="Picture 3">
          <a:extLst>
            <a:ext uri="{FF2B5EF4-FFF2-40B4-BE49-F238E27FC236}">
              <a16:creationId xmlns:a16="http://schemas.microsoft.com/office/drawing/2014/main" id="{B144DFC6-E0B4-9FAB-748B-381448E2EE31}"/>
            </a:ext>
          </a:extLst>
        </xdr:cNvPr>
        <xdr:cNvPicPr>
          <a:picLocks noChangeAspect="1"/>
        </xdr:cNvPicPr>
      </xdr:nvPicPr>
      <xdr:blipFill>
        <a:blip xmlns:r="http://schemas.openxmlformats.org/officeDocument/2006/relationships" r:embed="rId6"/>
        <a:stretch>
          <a:fillRect/>
        </a:stretch>
      </xdr:blipFill>
      <xdr:spPr>
        <a:xfrm>
          <a:off x="219076" y="381000"/>
          <a:ext cx="6096000" cy="5259586"/>
        </a:xfrm>
        <a:prstGeom prst="rect">
          <a:avLst/>
        </a:prstGeom>
      </xdr:spPr>
    </xdr:pic>
    <xdr:clientData/>
  </xdr:twoCellAnchor>
  <xdr:twoCellAnchor editAs="oneCell">
    <xdr:from>
      <xdr:col>38</xdr:col>
      <xdr:colOff>9524</xdr:colOff>
      <xdr:row>1</xdr:row>
      <xdr:rowOff>173182</xdr:rowOff>
    </xdr:from>
    <xdr:to>
      <xdr:col>48</xdr:col>
      <xdr:colOff>19049</xdr:colOff>
      <xdr:row>32</xdr:row>
      <xdr:rowOff>132</xdr:rowOff>
    </xdr:to>
    <xdr:pic>
      <xdr:nvPicPr>
        <xdr:cNvPr id="5" name="Picture 4">
          <a:extLst>
            <a:ext uri="{FF2B5EF4-FFF2-40B4-BE49-F238E27FC236}">
              <a16:creationId xmlns:a16="http://schemas.microsoft.com/office/drawing/2014/main" id="{582C63C3-6872-440D-9DE9-53309F86527F}"/>
            </a:ext>
          </a:extLst>
        </xdr:cNvPr>
        <xdr:cNvPicPr>
          <a:picLocks noChangeAspect="1"/>
        </xdr:cNvPicPr>
      </xdr:nvPicPr>
      <xdr:blipFill>
        <a:blip xmlns:r="http://schemas.openxmlformats.org/officeDocument/2006/relationships" r:embed="rId7"/>
        <a:stretch>
          <a:fillRect/>
        </a:stretch>
      </xdr:blipFill>
      <xdr:spPr>
        <a:xfrm>
          <a:off x="12530569" y="346364"/>
          <a:ext cx="6070889" cy="5212904"/>
        </a:xfrm>
        <a:prstGeom prst="rect">
          <a:avLst/>
        </a:prstGeom>
      </xdr:spPr>
    </xdr:pic>
    <xdr:clientData/>
  </xdr:twoCellAnchor>
  <xdr:twoCellAnchor editAs="oneCell">
    <xdr:from>
      <xdr:col>38</xdr:col>
      <xdr:colOff>11206</xdr:colOff>
      <xdr:row>36</xdr:row>
      <xdr:rowOff>12606</xdr:rowOff>
    </xdr:from>
    <xdr:to>
      <xdr:col>49</xdr:col>
      <xdr:colOff>605116</xdr:colOff>
      <xdr:row>64</xdr:row>
      <xdr:rowOff>12606</xdr:rowOff>
    </xdr:to>
    <xdr:pic>
      <xdr:nvPicPr>
        <xdr:cNvPr id="9" name="Picture 8">
          <a:extLst>
            <a:ext uri="{FF2B5EF4-FFF2-40B4-BE49-F238E27FC236}">
              <a16:creationId xmlns:a16="http://schemas.microsoft.com/office/drawing/2014/main" id="{A88AF49E-275B-1E4A-652E-F89DD3B0CB01}"/>
            </a:ext>
          </a:extLst>
        </xdr:cNvPr>
        <xdr:cNvPicPr>
          <a:picLocks noChangeAspect="1"/>
        </xdr:cNvPicPr>
      </xdr:nvPicPr>
      <xdr:blipFill>
        <a:blip xmlns:r="http://schemas.openxmlformats.org/officeDocument/2006/relationships" r:embed="rId8"/>
        <a:stretch>
          <a:fillRect/>
        </a:stretch>
      </xdr:blipFill>
      <xdr:spPr>
        <a:xfrm>
          <a:off x="12516971" y="6489606"/>
          <a:ext cx="7250204" cy="5042647"/>
        </a:xfrm>
        <a:prstGeom prst="rect">
          <a:avLst/>
        </a:prstGeom>
      </xdr:spPr>
    </xdr:pic>
    <xdr:clientData/>
  </xdr:twoCellAnchor>
  <xdr:twoCellAnchor editAs="oneCell">
    <xdr:from>
      <xdr:col>38</xdr:col>
      <xdr:colOff>9526</xdr:colOff>
      <xdr:row>71</xdr:row>
      <xdr:rowOff>9525</xdr:rowOff>
    </xdr:from>
    <xdr:to>
      <xdr:col>50</xdr:col>
      <xdr:colOff>9526</xdr:colOff>
      <xdr:row>99</xdr:row>
      <xdr:rowOff>17318</xdr:rowOff>
    </xdr:to>
    <xdr:pic>
      <xdr:nvPicPr>
        <xdr:cNvPr id="10" name="Picture 9">
          <a:extLst>
            <a:ext uri="{FF2B5EF4-FFF2-40B4-BE49-F238E27FC236}">
              <a16:creationId xmlns:a16="http://schemas.microsoft.com/office/drawing/2014/main" id="{F6311E21-2C57-3AC8-0844-DBD45C56B607}"/>
            </a:ext>
          </a:extLst>
        </xdr:cNvPr>
        <xdr:cNvPicPr>
          <a:picLocks noChangeAspect="1"/>
        </xdr:cNvPicPr>
      </xdr:nvPicPr>
      <xdr:blipFill>
        <a:blip xmlns:r="http://schemas.openxmlformats.org/officeDocument/2006/relationships" r:embed="rId9"/>
        <a:stretch>
          <a:fillRect/>
        </a:stretch>
      </xdr:blipFill>
      <xdr:spPr>
        <a:xfrm>
          <a:off x="12601576" y="12906375"/>
          <a:ext cx="7315200" cy="5322743"/>
        </a:xfrm>
        <a:prstGeom prst="rect">
          <a:avLst/>
        </a:prstGeom>
      </xdr:spPr>
    </xdr:pic>
    <xdr:clientData/>
  </xdr:twoCellAnchor>
  <xdr:twoCellAnchor editAs="oneCell">
    <xdr:from>
      <xdr:col>50</xdr:col>
      <xdr:colOff>0</xdr:colOff>
      <xdr:row>71</xdr:row>
      <xdr:rowOff>17318</xdr:rowOff>
    </xdr:from>
    <xdr:to>
      <xdr:col>62</xdr:col>
      <xdr:colOff>19762</xdr:colOff>
      <xdr:row>99</xdr:row>
      <xdr:rowOff>17318</xdr:rowOff>
    </xdr:to>
    <xdr:pic>
      <xdr:nvPicPr>
        <xdr:cNvPr id="11" name="Picture 10">
          <a:extLst>
            <a:ext uri="{FF2B5EF4-FFF2-40B4-BE49-F238E27FC236}">
              <a16:creationId xmlns:a16="http://schemas.microsoft.com/office/drawing/2014/main" id="{A4ECE296-D0EA-6DFF-C604-2FD9F9CE9EC9}"/>
            </a:ext>
          </a:extLst>
        </xdr:cNvPr>
        <xdr:cNvPicPr>
          <a:picLocks noChangeAspect="1"/>
        </xdr:cNvPicPr>
      </xdr:nvPicPr>
      <xdr:blipFill>
        <a:blip xmlns:r="http://schemas.openxmlformats.org/officeDocument/2006/relationships" r:embed="rId10"/>
        <a:stretch>
          <a:fillRect/>
        </a:stretch>
      </xdr:blipFill>
      <xdr:spPr>
        <a:xfrm>
          <a:off x="19794682" y="12399818"/>
          <a:ext cx="7293398" cy="5299364"/>
        </a:xfrm>
        <a:prstGeom prst="rect">
          <a:avLst/>
        </a:prstGeom>
      </xdr:spPr>
    </xdr:pic>
    <xdr:clientData/>
  </xdr:twoCellAnchor>
  <xdr:twoCellAnchor editAs="oneCell">
    <xdr:from>
      <xdr:col>38</xdr:col>
      <xdr:colOff>0</xdr:colOff>
      <xdr:row>173</xdr:row>
      <xdr:rowOff>0</xdr:rowOff>
    </xdr:from>
    <xdr:to>
      <xdr:col>50</xdr:col>
      <xdr:colOff>17318</xdr:colOff>
      <xdr:row>205</xdr:row>
      <xdr:rowOff>17318</xdr:rowOff>
    </xdr:to>
    <xdr:pic>
      <xdr:nvPicPr>
        <xdr:cNvPr id="13" name="Picture 12">
          <a:extLst>
            <a:ext uri="{FF2B5EF4-FFF2-40B4-BE49-F238E27FC236}">
              <a16:creationId xmlns:a16="http://schemas.microsoft.com/office/drawing/2014/main" id="{58F67260-2DF6-8A4F-EC19-832270355D4F}"/>
            </a:ext>
          </a:extLst>
        </xdr:cNvPr>
        <xdr:cNvPicPr>
          <a:picLocks noChangeAspect="1"/>
        </xdr:cNvPicPr>
      </xdr:nvPicPr>
      <xdr:blipFill>
        <a:blip xmlns:r="http://schemas.openxmlformats.org/officeDocument/2006/relationships" r:embed="rId11"/>
        <a:stretch>
          <a:fillRect/>
        </a:stretch>
      </xdr:blipFill>
      <xdr:spPr>
        <a:xfrm>
          <a:off x="12521045" y="24816955"/>
          <a:ext cx="7290955" cy="5576454"/>
        </a:xfrm>
        <a:prstGeom prst="rect">
          <a:avLst/>
        </a:prstGeom>
      </xdr:spPr>
    </xdr:pic>
    <xdr:clientData/>
  </xdr:twoCellAnchor>
  <xdr:twoCellAnchor editAs="oneCell">
    <xdr:from>
      <xdr:col>48</xdr:col>
      <xdr:colOff>0</xdr:colOff>
      <xdr:row>1</xdr:row>
      <xdr:rowOff>182216</xdr:rowOff>
    </xdr:from>
    <xdr:to>
      <xdr:col>57</xdr:col>
      <xdr:colOff>9525</xdr:colOff>
      <xdr:row>32</xdr:row>
      <xdr:rowOff>1241</xdr:rowOff>
    </xdr:to>
    <xdr:pic>
      <xdr:nvPicPr>
        <xdr:cNvPr id="14" name="Picture 13">
          <a:extLst>
            <a:ext uri="{FF2B5EF4-FFF2-40B4-BE49-F238E27FC236}">
              <a16:creationId xmlns:a16="http://schemas.microsoft.com/office/drawing/2014/main" id="{AF0FAB11-9ED7-4961-309F-B91CD6C2F262}"/>
            </a:ext>
          </a:extLst>
        </xdr:cNvPr>
        <xdr:cNvPicPr>
          <a:picLocks noChangeAspect="1"/>
        </xdr:cNvPicPr>
      </xdr:nvPicPr>
      <xdr:blipFill>
        <a:blip xmlns:r="http://schemas.openxmlformats.org/officeDocument/2006/relationships" r:embed="rId12"/>
        <a:stretch>
          <a:fillRect/>
        </a:stretch>
      </xdr:blipFill>
      <xdr:spPr>
        <a:xfrm>
          <a:off x="18688050" y="363191"/>
          <a:ext cx="5495925" cy="5438775"/>
        </a:xfrm>
        <a:prstGeom prst="rect">
          <a:avLst/>
        </a:prstGeom>
      </xdr:spPr>
    </xdr:pic>
    <xdr:clientData/>
  </xdr:twoCellAnchor>
  <xdr:twoCellAnchor>
    <xdr:from>
      <xdr:col>17</xdr:col>
      <xdr:colOff>0</xdr:colOff>
      <xdr:row>140</xdr:row>
      <xdr:rowOff>0</xdr:rowOff>
    </xdr:from>
    <xdr:to>
      <xdr:col>32</xdr:col>
      <xdr:colOff>0</xdr:colOff>
      <xdr:row>168</xdr:row>
      <xdr:rowOff>0</xdr:rowOff>
    </xdr:to>
    <xdr:graphicFrame macro="">
      <xdr:nvGraphicFramePr>
        <xdr:cNvPr id="12" name="Chart 11">
          <a:extLst>
            <a:ext uri="{FF2B5EF4-FFF2-40B4-BE49-F238E27FC236}">
              <a16:creationId xmlns:a16="http://schemas.microsoft.com/office/drawing/2014/main" id="{41302405-8AC1-45AD-8106-3FEB999D3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hyperlink" Target="https://www.sec.gov/edgar/browse/?CIK=1035267&amp;owner=exclude" TargetMode="External"/><Relationship Id="rId3" Type="http://schemas.openxmlformats.org/officeDocument/2006/relationships/hyperlink" Target="https://www.intuitive.com/en-us" TargetMode="External"/><Relationship Id="rId7" Type="http://schemas.openxmlformats.org/officeDocument/2006/relationships/hyperlink" Target="https://isrg.intuitive.com/" TargetMode="External"/><Relationship Id="rId2" Type="http://schemas.openxmlformats.org/officeDocument/2006/relationships/hyperlink" Target="000%20Med-Devices%20Master%20List%20000.xlsx" TargetMode="External"/><Relationship Id="rId1" Type="http://schemas.openxmlformats.org/officeDocument/2006/relationships/hyperlink" Target="https://app.godelterminal.com/" TargetMode="External"/><Relationship Id="rId6" Type="http://schemas.openxmlformats.org/officeDocument/2006/relationships/hyperlink" Target="https://www.macrotrends.net/stocks/charts/ISRG/intuitive-surgical/cash-flow-statement?freq=Q" TargetMode="External"/><Relationship Id="rId5" Type="http://schemas.openxmlformats.org/officeDocument/2006/relationships/hyperlink" Target="https://www.gurufocus.com/term/wacc/ISRG" TargetMode="External"/><Relationship Id="rId4" Type="http://schemas.openxmlformats.org/officeDocument/2006/relationships/hyperlink" Target="mailto:investor.relations@intusurg.com"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intuitive.com/en-gb/-/media/ISI/Intuitive/Pdf/intuitive-company-press-facts-europe-109620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5"/>
  <sheetViews>
    <sheetView zoomScale="85" zoomScaleNormal="85" workbookViewId="0">
      <selection activeCell="C9" sqref="C9"/>
    </sheetView>
  </sheetViews>
  <sheetFormatPr defaultColWidth="9.140625" defaultRowHeight="14.25"/>
  <cols>
    <col min="1" max="1" width="3.42578125" style="1" customWidth="1"/>
    <col min="2" max="2" width="9" style="1" customWidth="1"/>
    <col min="3" max="3" width="9.85546875" style="1" customWidth="1"/>
    <col min="4" max="4" width="9" style="1" customWidth="1"/>
    <col min="5" max="16384" width="9.140625" style="1"/>
  </cols>
  <sheetData>
    <row r="1" spans="1:19">
      <c r="A1" s="42" t="s">
        <v>1507</v>
      </c>
    </row>
    <row r="2" spans="1:19" ht="15">
      <c r="A2" s="2" t="s">
        <v>163</v>
      </c>
    </row>
    <row r="3" spans="1:19" ht="15">
      <c r="Q3" s="2"/>
    </row>
    <row r="4" spans="1:19" ht="15">
      <c r="B4" s="2" t="s">
        <v>164</v>
      </c>
    </row>
    <row r="5" spans="1:19">
      <c r="B5" s="1" t="s">
        <v>0</v>
      </c>
      <c r="C5" s="94">
        <v>407.34</v>
      </c>
      <c r="D5" s="72" t="s">
        <v>1699</v>
      </c>
    </row>
    <row r="6" spans="1:19">
      <c r="B6" s="1" t="s">
        <v>1</v>
      </c>
      <c r="C6" s="95">
        <v>349</v>
      </c>
      <c r="D6" s="1" t="s">
        <v>1697</v>
      </c>
    </row>
    <row r="7" spans="1:19">
      <c r="B7" s="1" t="s">
        <v>2</v>
      </c>
      <c r="C7" s="96">
        <f>C5*C6</f>
        <v>142161.66</v>
      </c>
    </row>
    <row r="8" spans="1:19">
      <c r="B8" s="1" t="s">
        <v>3</v>
      </c>
      <c r="C8" s="96">
        <v>6800.4</v>
      </c>
      <c r="D8" s="1" t="s">
        <v>1697</v>
      </c>
    </row>
    <row r="9" spans="1:19">
      <c r="B9" s="1" t="s">
        <v>4</v>
      </c>
      <c r="C9" s="96">
        <v>0</v>
      </c>
      <c r="D9" s="1" t="s">
        <v>1697</v>
      </c>
    </row>
    <row r="10" spans="1:19">
      <c r="B10" s="1" t="s">
        <v>5</v>
      </c>
      <c r="C10" s="96">
        <f>C7-C8+C9</f>
        <v>135361.26</v>
      </c>
    </row>
    <row r="12" spans="1:19" ht="15">
      <c r="B12" s="2" t="s">
        <v>167</v>
      </c>
    </row>
    <row r="14" spans="1:19">
      <c r="B14" s="1" t="s">
        <v>1478</v>
      </c>
      <c r="H14" s="1" t="s">
        <v>166</v>
      </c>
      <c r="P14" s="1" t="s">
        <v>162</v>
      </c>
    </row>
    <row r="15" spans="1:19">
      <c r="B15" s="1" t="s">
        <v>170</v>
      </c>
      <c r="H15" s="1" t="s">
        <v>165</v>
      </c>
      <c r="P15" s="1" t="s">
        <v>7</v>
      </c>
      <c r="S15" s="42" t="s">
        <v>1698</v>
      </c>
    </row>
    <row r="16" spans="1:19">
      <c r="B16" s="1" t="s">
        <v>181</v>
      </c>
      <c r="H16" s="1" t="s">
        <v>6</v>
      </c>
      <c r="P16" s="1" t="s">
        <v>172</v>
      </c>
      <c r="S16" s="42" t="s">
        <v>171</v>
      </c>
    </row>
    <row r="17" spans="1:20">
      <c r="B17" s="98" t="s">
        <v>1482</v>
      </c>
      <c r="C17" s="98"/>
      <c r="H17" s="1" t="s">
        <v>159</v>
      </c>
      <c r="Q17" s="1" t="s">
        <v>174</v>
      </c>
      <c r="T17" s="42" t="s">
        <v>173</v>
      </c>
    </row>
    <row r="18" spans="1:20">
      <c r="B18" s="1" t="s">
        <v>180</v>
      </c>
      <c r="H18" s="1" t="s">
        <v>177</v>
      </c>
      <c r="K18" s="1" t="s">
        <v>154</v>
      </c>
      <c r="L18" s="42" t="s">
        <v>178</v>
      </c>
      <c r="P18" s="1" t="s">
        <v>156</v>
      </c>
      <c r="S18" s="42" t="s">
        <v>175</v>
      </c>
    </row>
    <row r="19" spans="1:20">
      <c r="B19" s="1" t="s">
        <v>168</v>
      </c>
      <c r="P19" s="1" t="s">
        <v>157</v>
      </c>
      <c r="S19" s="42" t="s">
        <v>176</v>
      </c>
    </row>
    <row r="20" spans="1:20">
      <c r="B20" s="1" t="s">
        <v>169</v>
      </c>
      <c r="P20" s="1" t="s">
        <v>1504</v>
      </c>
      <c r="S20" s="42" t="s">
        <v>1505</v>
      </c>
    </row>
    <row r="21" spans="1:20">
      <c r="B21" s="1" t="s">
        <v>179</v>
      </c>
      <c r="P21" s="1" t="s">
        <v>1503</v>
      </c>
      <c r="S21" s="42" t="s">
        <v>1506</v>
      </c>
    </row>
    <row r="22" spans="1:20">
      <c r="B22" s="1" t="s">
        <v>1508</v>
      </c>
      <c r="P22" s="1" t="s">
        <v>8</v>
      </c>
      <c r="S22" s="42" t="s">
        <v>158</v>
      </c>
    </row>
    <row r="23" spans="1:20">
      <c r="S23" s="42"/>
    </row>
    <row r="24" spans="1:20" ht="15">
      <c r="A24" s="2" t="s">
        <v>9</v>
      </c>
    </row>
    <row r="25" spans="1:20">
      <c r="B25" s="1" t="s">
        <v>182</v>
      </c>
    </row>
    <row r="26" spans="1:20" ht="15">
      <c r="B26" s="1" t="s">
        <v>1488</v>
      </c>
    </row>
    <row r="27" spans="1:20">
      <c r="B27" s="1" t="s">
        <v>183</v>
      </c>
    </row>
    <row r="28" spans="1:20">
      <c r="C28" s="1" t="s">
        <v>184</v>
      </c>
    </row>
    <row r="29" spans="1:20">
      <c r="C29" s="1" t="s">
        <v>1442</v>
      </c>
    </row>
    <row r="30" spans="1:20">
      <c r="C30" s="1" t="s">
        <v>1443</v>
      </c>
    </row>
    <row r="31" spans="1:20">
      <c r="B31" s="1" t="s">
        <v>1484</v>
      </c>
    </row>
    <row r="32" spans="1:20">
      <c r="C32" s="1" t="s">
        <v>1444</v>
      </c>
    </row>
    <row r="33" spans="1:2" ht="15">
      <c r="B33" s="2" t="s">
        <v>1510</v>
      </c>
    </row>
    <row r="35" spans="1:2" ht="15">
      <c r="A35" s="2" t="s">
        <v>160</v>
      </c>
    </row>
  </sheetData>
  <mergeCells count="1">
    <mergeCell ref="B17:C17"/>
  </mergeCells>
  <hyperlinks>
    <hyperlink ref="S22" r:id="rId1" xr:uid="{14375537-5C3D-4253-9650-337AB6789785}"/>
    <hyperlink ref="A1" r:id="rId2" xr:uid="{563BF9AA-5866-4FA7-90ED-29E85D140A81}"/>
    <hyperlink ref="S16" r:id="rId3" xr:uid="{246FE6A3-40D3-4F60-BF3A-2DEB4A0AE5D9}"/>
    <hyperlink ref="L18" r:id="rId4" xr:uid="{029011AC-548F-436B-AC5A-2F47B1132C6F}"/>
    <hyperlink ref="S21" r:id="rId5" xr:uid="{EAAA7037-D2D1-4487-89B7-4A5E295870D2}"/>
    <hyperlink ref="S20" r:id="rId6" xr:uid="{1DD73788-521E-4FB8-8F99-6D7AF70DA125}"/>
    <hyperlink ref="T17" r:id="rId7" xr:uid="{9F777450-107A-421F-B854-620668A2DD04}"/>
    <hyperlink ref="S15" r:id="rId8" xr:uid="{ACD0CD04-7B52-49F0-A0A9-01E28388667A}"/>
  </hyperlinks>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27957-A42B-4AB7-A411-12A70E029F5D}">
  <dimension ref="B1:FB73"/>
  <sheetViews>
    <sheetView tabSelected="1" zoomScale="85" zoomScaleNormal="85" workbookViewId="0">
      <pane xSplit="2" ySplit="3" topLeftCell="BG35" activePane="bottomRight" state="frozen"/>
      <selection pane="topRight" activeCell="C1" sqref="C1"/>
      <selection pane="bottomLeft" activeCell="A4" sqref="A4"/>
      <selection pane="bottomRight" activeCell="BU71" sqref="BU71"/>
    </sheetView>
  </sheetViews>
  <sheetFormatPr defaultColWidth="9.140625" defaultRowHeight="14.25"/>
  <cols>
    <col min="1" max="1" width="3.140625" style="1" customWidth="1"/>
    <col min="2" max="2" width="36.42578125" style="1" customWidth="1"/>
    <col min="3" max="67" width="9.140625" style="1"/>
    <col min="68" max="68" width="9.140625" style="37"/>
    <col min="69" max="69" width="9.140625" style="35"/>
    <col min="70" max="73" width="9.140625" style="1"/>
    <col min="74" max="77" width="9.140625" style="35"/>
    <col min="78" max="95" width="9.140625" style="1"/>
    <col min="96" max="104" width="9.140625" style="35"/>
    <col min="105" max="105" width="9.140625" style="35" customWidth="1"/>
    <col min="106" max="157" width="9.140625" style="35"/>
    <col min="158" max="16384" width="9.140625" style="1"/>
  </cols>
  <sheetData>
    <row r="1" spans="2:158" ht="15">
      <c r="B1" s="1" t="s">
        <v>117</v>
      </c>
      <c r="AU1" s="33" t="s">
        <v>89</v>
      </c>
      <c r="AY1" s="33" t="s">
        <v>93</v>
      </c>
      <c r="BC1" s="33" t="s">
        <v>97</v>
      </c>
      <c r="BG1" s="33" t="s">
        <v>101</v>
      </c>
      <c r="BK1" s="33" t="s">
        <v>105</v>
      </c>
      <c r="BO1" s="33" t="s">
        <v>109</v>
      </c>
      <c r="BS1" s="2" t="s">
        <v>113</v>
      </c>
    </row>
    <row r="2" spans="2:158">
      <c r="B2" s="1" t="s">
        <v>118</v>
      </c>
    </row>
    <row r="3" spans="2:158" ht="15">
      <c r="B3" s="2" t="s">
        <v>119</v>
      </c>
      <c r="C3" s="33" t="s">
        <v>45</v>
      </c>
      <c r="D3" s="33" t="s">
        <v>46</v>
      </c>
      <c r="E3" s="33" t="s">
        <v>47</v>
      </c>
      <c r="F3" s="33" t="s">
        <v>48</v>
      </c>
      <c r="G3" s="33" t="s">
        <v>49</v>
      </c>
      <c r="H3" s="33" t="s">
        <v>50</v>
      </c>
      <c r="I3" s="33" t="s">
        <v>51</v>
      </c>
      <c r="J3" s="33" t="s">
        <v>52</v>
      </c>
      <c r="K3" s="33" t="s">
        <v>53</v>
      </c>
      <c r="L3" s="33" t="s">
        <v>54</v>
      </c>
      <c r="M3" s="33" t="s">
        <v>55</v>
      </c>
      <c r="N3" s="33" t="s">
        <v>56</v>
      </c>
      <c r="O3" s="33" t="s">
        <v>57</v>
      </c>
      <c r="P3" s="33" t="s">
        <v>58</v>
      </c>
      <c r="Q3" s="33" t="s">
        <v>59</v>
      </c>
      <c r="R3" s="33" t="s">
        <v>60</v>
      </c>
      <c r="S3" s="33" t="s">
        <v>61</v>
      </c>
      <c r="T3" s="33" t="s">
        <v>62</v>
      </c>
      <c r="U3" s="33" t="s">
        <v>63</v>
      </c>
      <c r="V3" s="33" t="s">
        <v>64</v>
      </c>
      <c r="W3" s="33" t="s">
        <v>65</v>
      </c>
      <c r="X3" s="33" t="s">
        <v>66</v>
      </c>
      <c r="Y3" s="33" t="s">
        <v>67</v>
      </c>
      <c r="Z3" s="33" t="s">
        <v>68</v>
      </c>
      <c r="AA3" s="33" t="s">
        <v>69</v>
      </c>
      <c r="AB3" s="33" t="s">
        <v>70</v>
      </c>
      <c r="AC3" s="33" t="s">
        <v>71</v>
      </c>
      <c r="AD3" s="33" t="s">
        <v>72</v>
      </c>
      <c r="AE3" s="33" t="s">
        <v>73</v>
      </c>
      <c r="AF3" s="33" t="s">
        <v>74</v>
      </c>
      <c r="AG3" s="33" t="s">
        <v>75</v>
      </c>
      <c r="AH3" s="33" t="s">
        <v>76</v>
      </c>
      <c r="AI3" s="33" t="s">
        <v>77</v>
      </c>
      <c r="AJ3" s="33" t="s">
        <v>78</v>
      </c>
      <c r="AK3" s="33" t="s">
        <v>79</v>
      </c>
      <c r="AL3" s="33" t="s">
        <v>80</v>
      </c>
      <c r="AM3" s="33" t="s">
        <v>81</v>
      </c>
      <c r="AN3" s="33" t="s">
        <v>82</v>
      </c>
      <c r="AO3" s="33" t="s">
        <v>83</v>
      </c>
      <c r="AP3" s="33" t="s">
        <v>84</v>
      </c>
      <c r="AQ3" s="33" t="s">
        <v>85</v>
      </c>
      <c r="AR3" s="33" t="s">
        <v>86</v>
      </c>
      <c r="AS3" s="33" t="s">
        <v>87</v>
      </c>
      <c r="AT3" s="33" t="s">
        <v>88</v>
      </c>
      <c r="AU3" s="33" t="s">
        <v>89</v>
      </c>
      <c r="AV3" s="33" t="s">
        <v>90</v>
      </c>
      <c r="AW3" s="33" t="s">
        <v>91</v>
      </c>
      <c r="AX3" s="33" t="s">
        <v>92</v>
      </c>
      <c r="AY3" s="33" t="s">
        <v>93</v>
      </c>
      <c r="AZ3" s="33" t="s">
        <v>94</v>
      </c>
      <c r="BA3" s="33" t="s">
        <v>95</v>
      </c>
      <c r="BB3" s="33" t="s">
        <v>96</v>
      </c>
      <c r="BC3" s="33" t="s">
        <v>97</v>
      </c>
      <c r="BD3" s="33" t="s">
        <v>98</v>
      </c>
      <c r="BE3" s="33" t="s">
        <v>99</v>
      </c>
      <c r="BF3" s="33" t="s">
        <v>100</v>
      </c>
      <c r="BG3" s="33" t="s">
        <v>101</v>
      </c>
      <c r="BH3" s="33" t="s">
        <v>102</v>
      </c>
      <c r="BI3" s="33" t="s">
        <v>103</v>
      </c>
      <c r="BJ3" s="33" t="s">
        <v>104</v>
      </c>
      <c r="BK3" s="33" t="s">
        <v>105</v>
      </c>
      <c r="BL3" s="33" t="s">
        <v>106</v>
      </c>
      <c r="BM3" s="33" t="s">
        <v>107</v>
      </c>
      <c r="BN3" s="33" t="s">
        <v>108</v>
      </c>
      <c r="BO3" s="33" t="s">
        <v>109</v>
      </c>
      <c r="BP3" s="33" t="s">
        <v>110</v>
      </c>
      <c r="BQ3" s="2" t="s">
        <v>111</v>
      </c>
      <c r="BR3" s="2" t="s">
        <v>112</v>
      </c>
      <c r="BS3" s="2" t="s">
        <v>113</v>
      </c>
      <c r="BT3" s="2" t="s">
        <v>114</v>
      </c>
      <c r="BU3" s="2" t="s">
        <v>115</v>
      </c>
      <c r="BV3" s="34" t="s">
        <v>116</v>
      </c>
      <c r="BW3" s="34"/>
      <c r="BX3" s="34"/>
      <c r="BY3" s="34"/>
      <c r="BZ3" s="2"/>
      <c r="CA3" s="2">
        <f t="shared" ref="CA3:CJ3" si="0">CB3-1</f>
        <v>2009</v>
      </c>
      <c r="CB3" s="2">
        <f t="shared" si="0"/>
        <v>2010</v>
      </c>
      <c r="CC3" s="2">
        <f t="shared" si="0"/>
        <v>2011</v>
      </c>
      <c r="CD3" s="2">
        <f t="shared" si="0"/>
        <v>2012</v>
      </c>
      <c r="CE3" s="2">
        <f t="shared" si="0"/>
        <v>2013</v>
      </c>
      <c r="CF3" s="2">
        <f t="shared" si="0"/>
        <v>2014</v>
      </c>
      <c r="CG3" s="2">
        <f t="shared" si="0"/>
        <v>2015</v>
      </c>
      <c r="CH3" s="2">
        <f t="shared" si="0"/>
        <v>2016</v>
      </c>
      <c r="CI3" s="2">
        <f t="shared" si="0"/>
        <v>2017</v>
      </c>
      <c r="CJ3" s="2">
        <f t="shared" si="0"/>
        <v>2018</v>
      </c>
      <c r="CK3" s="2">
        <f>CL3-1</f>
        <v>2019</v>
      </c>
      <c r="CL3" s="2">
        <v>2020</v>
      </c>
      <c r="CM3" s="2">
        <f t="shared" ref="CM3:EN3" si="1">CL3+1</f>
        <v>2021</v>
      </c>
      <c r="CN3" s="2">
        <f t="shared" si="1"/>
        <v>2022</v>
      </c>
      <c r="CO3" s="2">
        <f t="shared" si="1"/>
        <v>2023</v>
      </c>
      <c r="CP3" s="2">
        <f t="shared" si="1"/>
        <v>2024</v>
      </c>
      <c r="CQ3" s="2">
        <f t="shared" si="1"/>
        <v>2025</v>
      </c>
      <c r="CR3" s="34">
        <f t="shared" si="1"/>
        <v>2026</v>
      </c>
      <c r="CS3" s="34">
        <f t="shared" si="1"/>
        <v>2027</v>
      </c>
      <c r="CT3" s="34">
        <f t="shared" si="1"/>
        <v>2028</v>
      </c>
      <c r="CU3" s="34">
        <f t="shared" si="1"/>
        <v>2029</v>
      </c>
      <c r="CV3" s="34">
        <f t="shared" si="1"/>
        <v>2030</v>
      </c>
      <c r="CW3" s="34">
        <f t="shared" si="1"/>
        <v>2031</v>
      </c>
      <c r="CX3" s="34">
        <f t="shared" si="1"/>
        <v>2032</v>
      </c>
      <c r="CY3" s="34">
        <f t="shared" si="1"/>
        <v>2033</v>
      </c>
      <c r="CZ3" s="34">
        <f t="shared" si="1"/>
        <v>2034</v>
      </c>
      <c r="DA3" s="34">
        <f t="shared" si="1"/>
        <v>2035</v>
      </c>
      <c r="DB3" s="34">
        <f t="shared" si="1"/>
        <v>2036</v>
      </c>
      <c r="DC3" s="34">
        <f t="shared" si="1"/>
        <v>2037</v>
      </c>
      <c r="DD3" s="34">
        <f t="shared" si="1"/>
        <v>2038</v>
      </c>
      <c r="DE3" s="34">
        <f t="shared" si="1"/>
        <v>2039</v>
      </c>
      <c r="DF3" s="34">
        <f t="shared" si="1"/>
        <v>2040</v>
      </c>
      <c r="DG3" s="34">
        <f t="shared" si="1"/>
        <v>2041</v>
      </c>
      <c r="DH3" s="34">
        <f t="shared" si="1"/>
        <v>2042</v>
      </c>
      <c r="DI3" s="34">
        <f t="shared" si="1"/>
        <v>2043</v>
      </c>
      <c r="DJ3" s="34">
        <f t="shared" si="1"/>
        <v>2044</v>
      </c>
      <c r="DK3" s="34">
        <f t="shared" si="1"/>
        <v>2045</v>
      </c>
      <c r="DL3" s="34">
        <f t="shared" si="1"/>
        <v>2046</v>
      </c>
      <c r="DM3" s="34">
        <f t="shared" si="1"/>
        <v>2047</v>
      </c>
      <c r="DN3" s="34">
        <f t="shared" si="1"/>
        <v>2048</v>
      </c>
      <c r="DO3" s="34">
        <f t="shared" si="1"/>
        <v>2049</v>
      </c>
      <c r="DP3" s="34">
        <f t="shared" si="1"/>
        <v>2050</v>
      </c>
      <c r="DQ3" s="34">
        <f t="shared" si="1"/>
        <v>2051</v>
      </c>
      <c r="DR3" s="34">
        <f t="shared" si="1"/>
        <v>2052</v>
      </c>
      <c r="DS3" s="34">
        <f t="shared" si="1"/>
        <v>2053</v>
      </c>
      <c r="DT3" s="34">
        <f t="shared" si="1"/>
        <v>2054</v>
      </c>
      <c r="DU3" s="34">
        <f t="shared" si="1"/>
        <v>2055</v>
      </c>
      <c r="DV3" s="34">
        <f t="shared" si="1"/>
        <v>2056</v>
      </c>
      <c r="DW3" s="34">
        <f t="shared" si="1"/>
        <v>2057</v>
      </c>
      <c r="DX3" s="34">
        <f t="shared" si="1"/>
        <v>2058</v>
      </c>
      <c r="DY3" s="34">
        <f t="shared" si="1"/>
        <v>2059</v>
      </c>
      <c r="DZ3" s="34">
        <f t="shared" si="1"/>
        <v>2060</v>
      </c>
      <c r="EA3" s="34">
        <f t="shared" si="1"/>
        <v>2061</v>
      </c>
      <c r="EB3" s="34">
        <f t="shared" si="1"/>
        <v>2062</v>
      </c>
      <c r="EC3" s="34">
        <f t="shared" si="1"/>
        <v>2063</v>
      </c>
      <c r="ED3" s="34">
        <f t="shared" si="1"/>
        <v>2064</v>
      </c>
      <c r="EE3" s="34">
        <f t="shared" si="1"/>
        <v>2065</v>
      </c>
      <c r="EF3" s="34">
        <f t="shared" si="1"/>
        <v>2066</v>
      </c>
      <c r="EG3" s="34">
        <f t="shared" si="1"/>
        <v>2067</v>
      </c>
      <c r="EH3" s="34">
        <f t="shared" si="1"/>
        <v>2068</v>
      </c>
      <c r="EI3" s="34">
        <f t="shared" si="1"/>
        <v>2069</v>
      </c>
      <c r="EJ3" s="34">
        <f t="shared" si="1"/>
        <v>2070</v>
      </c>
      <c r="EK3" s="34">
        <f t="shared" si="1"/>
        <v>2071</v>
      </c>
      <c r="EL3" s="34">
        <f t="shared" si="1"/>
        <v>2072</v>
      </c>
      <c r="EM3" s="34">
        <f t="shared" si="1"/>
        <v>2073</v>
      </c>
      <c r="EN3" s="34">
        <f t="shared" si="1"/>
        <v>2074</v>
      </c>
      <c r="EO3" s="34">
        <f t="shared" ref="EO3:EY3" si="2">EN3+1</f>
        <v>2075</v>
      </c>
      <c r="EP3" s="34">
        <f t="shared" si="2"/>
        <v>2076</v>
      </c>
      <c r="EQ3" s="34">
        <f t="shared" si="2"/>
        <v>2077</v>
      </c>
      <c r="ER3" s="34">
        <f t="shared" si="2"/>
        <v>2078</v>
      </c>
      <c r="ES3" s="34">
        <f t="shared" si="2"/>
        <v>2079</v>
      </c>
      <c r="ET3" s="34">
        <f t="shared" si="2"/>
        <v>2080</v>
      </c>
      <c r="EU3" s="34">
        <f t="shared" si="2"/>
        <v>2081</v>
      </c>
      <c r="EV3" s="34">
        <f t="shared" si="2"/>
        <v>2082</v>
      </c>
      <c r="EW3" s="34">
        <f t="shared" si="2"/>
        <v>2083</v>
      </c>
      <c r="EX3" s="34">
        <f t="shared" si="2"/>
        <v>2084</v>
      </c>
      <c r="EY3" s="34">
        <f t="shared" si="2"/>
        <v>2085</v>
      </c>
      <c r="EZ3" s="34"/>
      <c r="FA3" s="34"/>
      <c r="FB3" s="2"/>
    </row>
    <row r="4" spans="2:158">
      <c r="B4" s="36" t="s">
        <v>1445</v>
      </c>
      <c r="AU4" s="45">
        <v>617.5</v>
      </c>
      <c r="AV4" s="45">
        <v>460.8</v>
      </c>
      <c r="AW4" s="45">
        <v>630.5</v>
      </c>
      <c r="AX4" s="45">
        <f>2455.7-SUM(AU4:AW4)</f>
        <v>746.89999999999986</v>
      </c>
      <c r="AY4" s="45">
        <v>705.9</v>
      </c>
      <c r="AZ4" s="45">
        <v>796.4</v>
      </c>
      <c r="BA4" s="45">
        <v>755.4</v>
      </c>
      <c r="BB4" s="45">
        <f>3100.5-SUM(AY4:BA4)</f>
        <v>842.80000000000018</v>
      </c>
      <c r="BC4" s="45">
        <v>810.3</v>
      </c>
      <c r="BD4" s="45">
        <v>895.3</v>
      </c>
      <c r="BE4" s="45">
        <v>871.6</v>
      </c>
      <c r="BF4" s="45">
        <f>3517.9-SUM(BC4:BE4)</f>
        <v>940.70000000000027</v>
      </c>
      <c r="BG4" s="45">
        <v>985.6</v>
      </c>
      <c r="BH4" s="45">
        <v>1075.9000000000001</v>
      </c>
      <c r="BI4" s="45">
        <v>1071.4000000000001</v>
      </c>
      <c r="BJ4" s="45">
        <f>4276.6-SUM(BG4:BI4)</f>
        <v>1143.7000000000003</v>
      </c>
      <c r="BK4" s="45">
        <v>1158.9000000000001</v>
      </c>
      <c r="BL4" s="45">
        <v>1244.4000000000001</v>
      </c>
      <c r="BM4" s="45">
        <v>1264.2</v>
      </c>
      <c r="BN4" s="45">
        <f>5079-SUM(BK4:BM4)</f>
        <v>1411.5</v>
      </c>
      <c r="BO4" s="45">
        <v>1367.7</v>
      </c>
      <c r="BP4" s="45">
        <f>2841.8-BO4</f>
        <v>1474.1000000000001</v>
      </c>
      <c r="BQ4" s="45">
        <v>1518.8</v>
      </c>
      <c r="BR4" s="45">
        <v>1658.3</v>
      </c>
      <c r="BS4" s="45">
        <v>1686.4</v>
      </c>
      <c r="BT4" s="45">
        <v>1734.9</v>
      </c>
      <c r="BU4" s="45">
        <v>1797.4</v>
      </c>
      <c r="CL4" s="45">
        <f>SUM(AU4:AX4)</f>
        <v>2455.6999999999998</v>
      </c>
      <c r="CM4" s="45">
        <f>SUM(AY4:BB4)</f>
        <v>3100.5</v>
      </c>
      <c r="CN4" s="45">
        <f>SUM(BC4:BF4)</f>
        <v>3517.9</v>
      </c>
      <c r="CO4" s="45">
        <f>SUM(BG4:BJ4)</f>
        <v>4276.6000000000004</v>
      </c>
      <c r="CP4" s="45">
        <f>SUM(BK4:BN4)</f>
        <v>5079</v>
      </c>
      <c r="CQ4" s="45">
        <f>SUM(BO4:BR4)</f>
        <v>6018.9000000000005</v>
      </c>
      <c r="CR4" s="70">
        <f t="shared" ref="CR4:DA4" si="3">CQ4*(1+CR9)</f>
        <v>7102.3020000000006</v>
      </c>
      <c r="CS4" s="70">
        <f t="shared" si="3"/>
        <v>8096.6242800000018</v>
      </c>
      <c r="CT4" s="70">
        <f t="shared" si="3"/>
        <v>9149.185436400001</v>
      </c>
      <c r="CU4" s="70">
        <f t="shared" si="3"/>
        <v>10247.087688768002</v>
      </c>
      <c r="CV4" s="70">
        <f t="shared" si="3"/>
        <v>11374.267334532484</v>
      </c>
      <c r="CW4" s="70">
        <f t="shared" si="3"/>
        <v>12511.694067985733</v>
      </c>
      <c r="CX4" s="70">
        <f t="shared" si="3"/>
        <v>13637.74653410445</v>
      </c>
      <c r="CY4" s="70">
        <f t="shared" si="3"/>
        <v>14592.388791491761</v>
      </c>
      <c r="CZ4" s="70">
        <f t="shared" si="3"/>
        <v>15540.894062938725</v>
      </c>
      <c r="DA4" s="70">
        <f t="shared" si="3"/>
        <v>16473.347706715049</v>
      </c>
    </row>
    <row r="5" spans="2:158">
      <c r="B5" s="36" t="s">
        <v>1446</v>
      </c>
      <c r="AU5" s="45">
        <v>283.3</v>
      </c>
      <c r="AV5" s="45">
        <v>261</v>
      </c>
      <c r="AW5" s="45">
        <v>267.8</v>
      </c>
      <c r="AX5" s="45">
        <f>1178.9-SUM(AU5:AW5)</f>
        <v>366.80000000000018</v>
      </c>
      <c r="AY5" s="45">
        <v>368.7</v>
      </c>
      <c r="AZ5" s="45">
        <v>439.6</v>
      </c>
      <c r="BA5" s="45">
        <v>415.2</v>
      </c>
      <c r="BB5" s="45">
        <f>1693.4-SUM(AY5:BA5)</f>
        <v>469.90000000000009</v>
      </c>
      <c r="BC5" s="45">
        <v>428.1</v>
      </c>
      <c r="BD5" s="45">
        <v>375.1</v>
      </c>
      <c r="BE5" s="45">
        <v>425.9</v>
      </c>
      <c r="BF5" s="45">
        <f>1680.1-SUM(BC5:BE5)</f>
        <v>451</v>
      </c>
      <c r="BG5" s="45">
        <v>427.4</v>
      </c>
      <c r="BH5" s="45">
        <v>392.7</v>
      </c>
      <c r="BI5" s="45">
        <v>379.4</v>
      </c>
      <c r="BJ5" s="45">
        <f>1679.7-SUM(BG5:BI5)</f>
        <v>480.20000000000005</v>
      </c>
      <c r="BK5" s="45">
        <v>418.2</v>
      </c>
      <c r="BL5" s="45">
        <v>448.2</v>
      </c>
      <c r="BM5" s="45">
        <v>445</v>
      </c>
      <c r="BN5" s="45">
        <f>1966-SUM(BK5:BM5)</f>
        <v>654.59999999999991</v>
      </c>
      <c r="BO5" s="45">
        <v>522.70000000000005</v>
      </c>
      <c r="BP5" s="45">
        <f>1097.4-BO5</f>
        <v>574.70000000000005</v>
      </c>
      <c r="BQ5" s="45">
        <v>590.4</v>
      </c>
      <c r="BR5" s="45">
        <v>785.9</v>
      </c>
      <c r="BS5" s="45">
        <v>650.70000000000005</v>
      </c>
      <c r="BT5" s="45">
        <v>685</v>
      </c>
      <c r="BU5" s="45">
        <v>769.1</v>
      </c>
      <c r="CL5" s="45">
        <f>SUM(AU5:AX5)</f>
        <v>1178.9000000000001</v>
      </c>
      <c r="CM5" s="45">
        <f>SUM(AY5:BB5)</f>
        <v>1693.4</v>
      </c>
      <c r="CN5" s="45">
        <f>SUM(BC5:BF5)</f>
        <v>1680.1</v>
      </c>
      <c r="CO5" s="45">
        <f>SUM(BG5:BJ5)</f>
        <v>1679.7</v>
      </c>
      <c r="CP5" s="45">
        <f>SUM(BK5:BN5)</f>
        <v>1966</v>
      </c>
      <c r="CQ5" s="45">
        <f>SUM(BO5:BR5)</f>
        <v>2473.7000000000003</v>
      </c>
      <c r="CR5" s="70">
        <f t="shared" ref="CR5:DA6" si="4">CQ5*(1+CR10)</f>
        <v>2993.1770000000001</v>
      </c>
      <c r="CS5" s="70">
        <f t="shared" si="4"/>
        <v>3382.2900099999997</v>
      </c>
      <c r="CT5" s="70">
        <f t="shared" si="4"/>
        <v>3788.1648112000003</v>
      </c>
      <c r="CU5" s="70">
        <f t="shared" si="4"/>
        <v>4337.4487088240003</v>
      </c>
      <c r="CV5" s="70">
        <f t="shared" si="4"/>
        <v>4944.6915280593612</v>
      </c>
      <c r="CW5" s="70">
        <f t="shared" si="4"/>
        <v>5612.2248843473753</v>
      </c>
      <c r="CX5" s="70">
        <f t="shared" si="4"/>
        <v>6229.5696216255874</v>
      </c>
      <c r="CY5" s="70">
        <f t="shared" si="4"/>
        <v>6868.1005078422104</v>
      </c>
      <c r="CZ5" s="70">
        <f t="shared" si="4"/>
        <v>7400.3782971999808</v>
      </c>
      <c r="DA5" s="70">
        <f t="shared" si="4"/>
        <v>7899.9038322609786</v>
      </c>
    </row>
    <row r="6" spans="2:158">
      <c r="B6" s="36" t="s">
        <v>1447</v>
      </c>
      <c r="AU6" s="45">
        <v>198.7</v>
      </c>
      <c r="AV6" s="45">
        <v>130.30000000000001</v>
      </c>
      <c r="AW6" s="45">
        <v>179.4</v>
      </c>
      <c r="AX6" s="45">
        <f>723.8-SUM(AU6:AW6)</f>
        <v>215.39999999999998</v>
      </c>
      <c r="AY6" s="45">
        <v>217.5</v>
      </c>
      <c r="AZ6" s="45">
        <v>228</v>
      </c>
      <c r="BA6" s="45">
        <v>232.7</v>
      </c>
      <c r="BB6" s="45">
        <f>916.2-SUM(AY6:BA6)</f>
        <v>238</v>
      </c>
      <c r="BC6" s="45">
        <v>249.3</v>
      </c>
      <c r="BD6" s="45">
        <v>251.7</v>
      </c>
      <c r="BE6" s="45">
        <v>259.89999999999998</v>
      </c>
      <c r="BF6" s="45">
        <f>1024.2-SUM(BC6:BE6)</f>
        <v>263.30000000000007</v>
      </c>
      <c r="BG6" s="45">
        <v>283.2</v>
      </c>
      <c r="BH6" s="45">
        <v>287.3</v>
      </c>
      <c r="BI6" s="45">
        <v>292.89999999999998</v>
      </c>
      <c r="BJ6" s="45">
        <f>1167.8-SUM(BG6:BI6)</f>
        <v>304.39999999999998</v>
      </c>
      <c r="BK6" s="45">
        <v>313.5</v>
      </c>
      <c r="BL6" s="45">
        <v>317.3</v>
      </c>
      <c r="BM6" s="45">
        <v>328.9</v>
      </c>
      <c r="BN6" s="45">
        <f>1307.1-SUM(BK6:BM6)</f>
        <v>347.4</v>
      </c>
      <c r="BO6" s="45">
        <v>363</v>
      </c>
      <c r="BP6" s="45">
        <f>754.2-BO6</f>
        <v>391.20000000000005</v>
      </c>
      <c r="BQ6" s="45">
        <v>395</v>
      </c>
      <c r="BR6" s="45">
        <v>423</v>
      </c>
      <c r="BS6" s="45">
        <v>433.7</v>
      </c>
      <c r="BT6" s="45">
        <v>472.4</v>
      </c>
      <c r="BU6" s="45">
        <v>482.2</v>
      </c>
      <c r="CL6" s="45">
        <f>SUM(AU6:AX6)</f>
        <v>723.8</v>
      </c>
      <c r="CM6" s="45">
        <f>SUM(AY6:BB6)</f>
        <v>916.2</v>
      </c>
      <c r="CN6" s="45">
        <f>SUM(BC6:BF6)</f>
        <v>1024.2</v>
      </c>
      <c r="CO6" s="45">
        <f>SUM(BG6:BJ6)</f>
        <v>1167.8</v>
      </c>
      <c r="CP6" s="45">
        <f>SUM(BK6:BN6)</f>
        <v>1307.0999999999999</v>
      </c>
      <c r="CQ6" s="45">
        <f>SUM(BO6:BR6)</f>
        <v>1572.2</v>
      </c>
      <c r="CR6" s="70">
        <f t="shared" si="4"/>
        <v>1823.752</v>
      </c>
      <c r="CS6" s="70">
        <f t="shared" si="4"/>
        <v>2097.3147999999997</v>
      </c>
      <c r="CT6" s="70">
        <f t="shared" si="4"/>
        <v>2401.4254459999997</v>
      </c>
      <c r="CU6" s="70">
        <f t="shared" si="4"/>
        <v>2737.6250084399999</v>
      </c>
      <c r="CV6" s="70">
        <f t="shared" si="4"/>
        <v>3107.2043845794001</v>
      </c>
      <c r="CW6" s="70">
        <f t="shared" si="4"/>
        <v>3511.1409545747219</v>
      </c>
      <c r="CX6" s="70">
        <f t="shared" si="4"/>
        <v>3897.3664595779419</v>
      </c>
      <c r="CY6" s="70">
        <f t="shared" si="4"/>
        <v>4267.6162732378461</v>
      </c>
      <c r="CZ6" s="70">
        <f t="shared" si="4"/>
        <v>4587.6874937306848</v>
      </c>
      <c r="DA6" s="70">
        <f t="shared" si="4"/>
        <v>4885.8871808231788</v>
      </c>
    </row>
    <row r="7" spans="2:158" s="2" customFormat="1" ht="15">
      <c r="B7" s="33" t="s">
        <v>120</v>
      </c>
      <c r="AU7" s="47">
        <f t="shared" ref="AU7:BN7" si="5">SUM(AU4:AU6)</f>
        <v>1099.5</v>
      </c>
      <c r="AV7" s="47">
        <f t="shared" si="5"/>
        <v>852.09999999999991</v>
      </c>
      <c r="AW7" s="47">
        <f t="shared" si="5"/>
        <v>1077.7</v>
      </c>
      <c r="AX7" s="47">
        <f t="shared" si="5"/>
        <v>1329.1</v>
      </c>
      <c r="AY7" s="47">
        <f t="shared" si="5"/>
        <v>1292.0999999999999</v>
      </c>
      <c r="AZ7" s="47">
        <f t="shared" si="5"/>
        <v>1464</v>
      </c>
      <c r="BA7" s="47">
        <f t="shared" si="5"/>
        <v>1403.3</v>
      </c>
      <c r="BB7" s="47">
        <f t="shared" si="5"/>
        <v>1550.7000000000003</v>
      </c>
      <c r="BC7" s="47">
        <f t="shared" si="5"/>
        <v>1487.7</v>
      </c>
      <c r="BD7" s="47">
        <f t="shared" si="5"/>
        <v>1522.1000000000001</v>
      </c>
      <c r="BE7" s="47">
        <f t="shared" si="5"/>
        <v>1557.4</v>
      </c>
      <c r="BF7" s="47">
        <f t="shared" si="5"/>
        <v>1655.0000000000005</v>
      </c>
      <c r="BG7" s="47">
        <f t="shared" si="5"/>
        <v>1696.2</v>
      </c>
      <c r="BH7" s="47">
        <f t="shared" si="5"/>
        <v>1755.9</v>
      </c>
      <c r="BI7" s="47">
        <f t="shared" si="5"/>
        <v>1743.7000000000003</v>
      </c>
      <c r="BJ7" s="47">
        <f t="shared" si="5"/>
        <v>1928.3000000000002</v>
      </c>
      <c r="BK7" s="47">
        <f t="shared" si="5"/>
        <v>1890.6000000000001</v>
      </c>
      <c r="BL7" s="47">
        <f t="shared" si="5"/>
        <v>2009.9</v>
      </c>
      <c r="BM7" s="47">
        <f t="shared" si="5"/>
        <v>2038.1</v>
      </c>
      <c r="BN7" s="47">
        <f t="shared" si="5"/>
        <v>2413.5</v>
      </c>
      <c r="BO7" s="47">
        <f t="shared" ref="BO7:BT7" si="6">SUM(BO4:BO6)</f>
        <v>2253.4</v>
      </c>
      <c r="BP7" s="47">
        <f t="shared" si="6"/>
        <v>2440</v>
      </c>
      <c r="BQ7" s="47">
        <f t="shared" si="6"/>
        <v>2504.1999999999998</v>
      </c>
      <c r="BR7" s="47">
        <f t="shared" si="6"/>
        <v>2867.2</v>
      </c>
      <c r="BS7" s="47">
        <f t="shared" si="6"/>
        <v>2770.8</v>
      </c>
      <c r="BT7" s="47">
        <f t="shared" si="6"/>
        <v>2892.3</v>
      </c>
      <c r="BU7" s="47">
        <f t="shared" ref="BU7" si="7">SUM(BU4:BU6)</f>
        <v>3048.7</v>
      </c>
      <c r="BV7" s="34"/>
      <c r="BW7" s="34"/>
      <c r="BX7" s="34"/>
      <c r="BY7" s="34"/>
      <c r="CL7" s="47">
        <f>SUM(AU7:AX7)</f>
        <v>4358.3999999999996</v>
      </c>
      <c r="CM7" s="47">
        <f>SUM(AY7:BB7)</f>
        <v>5710.1</v>
      </c>
      <c r="CN7" s="47">
        <f>SUM(BC7:BF7)</f>
        <v>6222.2000000000007</v>
      </c>
      <c r="CO7" s="47">
        <f>SUM(BG7:BJ7)</f>
        <v>7124.1000000000013</v>
      </c>
      <c r="CP7" s="47">
        <f>SUM(BK7:BN7)</f>
        <v>8352.1</v>
      </c>
      <c r="CQ7" s="47">
        <f>SUM(BO7:BR7)</f>
        <v>10064.799999999999</v>
      </c>
      <c r="CR7" s="71">
        <f t="shared" ref="CR7" si="8">SUM(CR4:CR6)</f>
        <v>11919.231000000002</v>
      </c>
      <c r="CS7" s="71">
        <f t="shared" ref="CS7:DA7" si="9">SUM(CS4:CS6)</f>
        <v>13576.229090000001</v>
      </c>
      <c r="CT7" s="71">
        <f t="shared" si="9"/>
        <v>15338.775693600001</v>
      </c>
      <c r="CU7" s="71">
        <f t="shared" si="9"/>
        <v>17322.161406032003</v>
      </c>
      <c r="CV7" s="71">
        <f t="shared" si="9"/>
        <v>19426.163247171244</v>
      </c>
      <c r="CW7" s="71">
        <f t="shared" si="9"/>
        <v>21635.059906907831</v>
      </c>
      <c r="CX7" s="71">
        <f t="shared" si="9"/>
        <v>23764.682615307978</v>
      </c>
      <c r="CY7" s="71">
        <f t="shared" si="9"/>
        <v>25728.105572571818</v>
      </c>
      <c r="CZ7" s="71">
        <f t="shared" si="9"/>
        <v>27528.95985386939</v>
      </c>
      <c r="DA7" s="71">
        <f t="shared" si="9"/>
        <v>29259.138719799204</v>
      </c>
      <c r="DB7" s="34"/>
      <c r="DC7" s="34"/>
      <c r="DD7" s="34"/>
      <c r="DE7" s="34"/>
      <c r="DF7" s="34"/>
      <c r="DG7" s="34"/>
      <c r="DH7" s="34"/>
      <c r="DI7" s="34"/>
      <c r="DJ7" s="34"/>
      <c r="DK7" s="34"/>
      <c r="DL7" s="34"/>
      <c r="DM7" s="34"/>
      <c r="DN7" s="34"/>
      <c r="DO7" s="34"/>
      <c r="DP7" s="34"/>
      <c r="DQ7" s="34"/>
      <c r="DR7" s="34"/>
      <c r="DS7" s="34"/>
      <c r="DT7" s="34"/>
      <c r="DU7" s="34"/>
      <c r="DV7" s="34"/>
      <c r="DW7" s="34"/>
      <c r="DX7" s="34"/>
      <c r="DY7" s="34"/>
      <c r="DZ7" s="34"/>
      <c r="EA7" s="34"/>
      <c r="EB7" s="34"/>
      <c r="EC7" s="34"/>
      <c r="ED7" s="34"/>
      <c r="EE7" s="34"/>
      <c r="EF7" s="34"/>
      <c r="EG7" s="34"/>
      <c r="EH7" s="34"/>
      <c r="EI7" s="34"/>
      <c r="EJ7" s="34"/>
      <c r="EK7" s="34"/>
      <c r="EL7" s="34"/>
      <c r="EM7" s="34"/>
      <c r="EN7" s="34"/>
      <c r="EO7" s="34"/>
      <c r="EP7" s="34"/>
      <c r="EQ7" s="34"/>
      <c r="ER7" s="34"/>
      <c r="ES7" s="34"/>
      <c r="ET7" s="34"/>
      <c r="EU7" s="34"/>
      <c r="EV7" s="34"/>
      <c r="EW7" s="34"/>
      <c r="EX7" s="34"/>
      <c r="EY7" s="34"/>
      <c r="EZ7" s="34"/>
      <c r="FA7" s="34"/>
    </row>
    <row r="8" spans="2:158">
      <c r="B8" s="36"/>
      <c r="BQ8" s="37"/>
      <c r="BR8" s="37"/>
    </row>
    <row r="9" spans="2:158">
      <c r="B9" s="37" t="s">
        <v>1448</v>
      </c>
      <c r="AY9" s="46">
        <f t="shared" ref="AY9:BN9" si="10">AY4/AU4-1</f>
        <v>0.14315789473684215</v>
      </c>
      <c r="AZ9" s="46">
        <f t="shared" si="10"/>
        <v>0.72829861111111094</v>
      </c>
      <c r="BA9" s="46">
        <f t="shared" si="10"/>
        <v>0.19809674861221249</v>
      </c>
      <c r="BB9" s="46">
        <f t="shared" si="10"/>
        <v>0.12839737582005673</v>
      </c>
      <c r="BC9" s="46">
        <f t="shared" si="10"/>
        <v>0.14789630259243514</v>
      </c>
      <c r="BD9" s="46">
        <f t="shared" si="10"/>
        <v>0.12418382722250132</v>
      </c>
      <c r="BE9" s="46">
        <f t="shared" si="10"/>
        <v>0.15382578766216581</v>
      </c>
      <c r="BF9" s="46">
        <f t="shared" si="10"/>
        <v>0.11616041765543428</v>
      </c>
      <c r="BG9" s="46">
        <f t="shared" si="10"/>
        <v>0.2163396272985314</v>
      </c>
      <c r="BH9" s="46">
        <f t="shared" si="10"/>
        <v>0.2017200938232997</v>
      </c>
      <c r="BI9" s="46">
        <f t="shared" si="10"/>
        <v>0.22923359339146399</v>
      </c>
      <c r="BJ9" s="46">
        <f t="shared" si="10"/>
        <v>0.21579674710322094</v>
      </c>
      <c r="BK9" s="46">
        <f t="shared" si="10"/>
        <v>0.17583198051948057</v>
      </c>
      <c r="BL9" s="46">
        <f t="shared" si="10"/>
        <v>0.15661306812900833</v>
      </c>
      <c r="BM9" s="46">
        <f t="shared" si="10"/>
        <v>0.17995146537240991</v>
      </c>
      <c r="BN9" s="46">
        <f t="shared" si="10"/>
        <v>0.23415231266940606</v>
      </c>
      <c r="BO9" s="46">
        <f t="shared" ref="BO9:BU9" si="11">BO4/BK4-1</f>
        <v>0.18017085166968672</v>
      </c>
      <c r="BP9" s="46">
        <f t="shared" si="11"/>
        <v>0.18458694953391186</v>
      </c>
      <c r="BQ9" s="46">
        <f t="shared" si="11"/>
        <v>0.20139218478088905</v>
      </c>
      <c r="BR9" s="46">
        <f t="shared" si="11"/>
        <v>0.17484945093871773</v>
      </c>
      <c r="BS9" s="46">
        <f t="shared" si="11"/>
        <v>0.23301893690136732</v>
      </c>
      <c r="BT9" s="46">
        <f t="shared" si="11"/>
        <v>0.17692151143070345</v>
      </c>
      <c r="BU9" s="46">
        <f t="shared" si="11"/>
        <v>0.18343429022912838</v>
      </c>
      <c r="CL9" s="46"/>
      <c r="CM9" s="46">
        <f t="shared" ref="CM9:CO9" si="12">CM4/CL4-1</f>
        <v>0.26257278983589205</v>
      </c>
      <c r="CN9" s="46">
        <f t="shared" si="12"/>
        <v>0.13462344783099511</v>
      </c>
      <c r="CO9" s="46">
        <f t="shared" si="12"/>
        <v>0.21566843855709372</v>
      </c>
      <c r="CP9" s="46">
        <f t="shared" ref="CP9:CQ11" si="13">CP4/CO4-1</f>
        <v>0.18762568395454315</v>
      </c>
      <c r="CQ9" s="46">
        <f t="shared" si="13"/>
        <v>0.18505611340815142</v>
      </c>
      <c r="CR9" s="68">
        <v>0.18</v>
      </c>
      <c r="CS9" s="68">
        <v>0.14000000000000001</v>
      </c>
      <c r="CT9" s="68">
        <v>0.13</v>
      </c>
      <c r="CU9" s="68">
        <v>0.12</v>
      </c>
      <c r="CV9" s="68">
        <v>0.11</v>
      </c>
      <c r="CW9" s="68">
        <v>0.1</v>
      </c>
      <c r="CX9" s="68">
        <v>0.09</v>
      </c>
      <c r="CY9" s="68">
        <v>7.0000000000000007E-2</v>
      </c>
      <c r="CZ9" s="68">
        <v>6.5000000000000002E-2</v>
      </c>
      <c r="DA9" s="68">
        <v>0.06</v>
      </c>
    </row>
    <row r="10" spans="2:158">
      <c r="B10" s="37" t="s">
        <v>1449</v>
      </c>
      <c r="AY10" s="46">
        <f t="shared" ref="AY10:BN10" si="14">AY5/AU5-1</f>
        <v>0.30144722908577481</v>
      </c>
      <c r="AZ10" s="46">
        <f t="shared" si="14"/>
        <v>0.68429118773946374</v>
      </c>
      <c r="BA10" s="46">
        <f t="shared" si="14"/>
        <v>0.55041075429424935</v>
      </c>
      <c r="BB10" s="46">
        <f t="shared" si="14"/>
        <v>0.28107960741548488</v>
      </c>
      <c r="BC10" s="46">
        <f t="shared" si="14"/>
        <v>0.161106590724166</v>
      </c>
      <c r="BD10" s="46">
        <f t="shared" si="14"/>
        <v>-0.14672429481346683</v>
      </c>
      <c r="BE10" s="46">
        <f t="shared" si="14"/>
        <v>2.5770712909441107E-2</v>
      </c>
      <c r="BF10" s="46">
        <f t="shared" si="14"/>
        <v>-4.022132368589082E-2</v>
      </c>
      <c r="BG10" s="46">
        <f t="shared" si="14"/>
        <v>-1.6351319785098406E-3</v>
      </c>
      <c r="BH10" s="46">
        <f t="shared" si="14"/>
        <v>4.692082111436946E-2</v>
      </c>
      <c r="BI10" s="46">
        <f t="shared" si="14"/>
        <v>-0.10918055881662359</v>
      </c>
      <c r="BJ10" s="46">
        <f t="shared" si="14"/>
        <v>6.474501108647468E-2</v>
      </c>
      <c r="BK10" s="46">
        <f t="shared" si="14"/>
        <v>-2.1525503041647132E-2</v>
      </c>
      <c r="BL10" s="46">
        <f t="shared" si="14"/>
        <v>0.14132925897631776</v>
      </c>
      <c r="BM10" s="46">
        <f t="shared" si="14"/>
        <v>0.17290458618871907</v>
      </c>
      <c r="BN10" s="46">
        <f t="shared" si="14"/>
        <v>0.3631820074968759</v>
      </c>
      <c r="BO10" s="46">
        <f t="shared" ref="BO10:BU12" si="15">BO5/BK5-1</f>
        <v>0.24988043998087051</v>
      </c>
      <c r="BP10" s="46">
        <f t="shared" si="15"/>
        <v>0.28224007139669793</v>
      </c>
      <c r="BQ10" s="46">
        <f t="shared" si="15"/>
        <v>0.32674157303370777</v>
      </c>
      <c r="BR10" s="46">
        <f t="shared" si="15"/>
        <v>0.20058050717995735</v>
      </c>
      <c r="BS10" s="46">
        <f t="shared" si="15"/>
        <v>0.24488234168739242</v>
      </c>
      <c r="BT10" s="46">
        <f t="shared" si="15"/>
        <v>0.19192622237689227</v>
      </c>
      <c r="BU10" s="46">
        <f t="shared" si="15"/>
        <v>0.30267615176151774</v>
      </c>
      <c r="CL10" s="46"/>
      <c r="CM10" s="46">
        <f t="shared" ref="CM10:CO10" si="16">CM5/CL5-1</f>
        <v>0.43642378488421407</v>
      </c>
      <c r="CN10" s="46">
        <f t="shared" si="16"/>
        <v>-7.8540214952168563E-3</v>
      </c>
      <c r="CO10" s="46">
        <f t="shared" si="16"/>
        <v>-2.380810666030575E-4</v>
      </c>
      <c r="CP10" s="46">
        <f t="shared" si="13"/>
        <v>0.17044710364946125</v>
      </c>
      <c r="CQ10" s="46">
        <f t="shared" si="13"/>
        <v>0.25824008138351995</v>
      </c>
      <c r="CR10" s="68">
        <v>0.21</v>
      </c>
      <c r="CS10" s="68">
        <v>0.13</v>
      </c>
      <c r="CT10" s="68">
        <v>0.12</v>
      </c>
      <c r="CU10" s="68">
        <v>0.14499999999999999</v>
      </c>
      <c r="CV10" s="68">
        <v>0.14000000000000001</v>
      </c>
      <c r="CW10" s="68">
        <v>0.13500000000000001</v>
      </c>
      <c r="CX10" s="68">
        <v>0.11</v>
      </c>
      <c r="CY10" s="68">
        <v>0.10249999999999999</v>
      </c>
      <c r="CZ10" s="68">
        <v>7.7499999999999999E-2</v>
      </c>
      <c r="DA10" s="68">
        <v>6.7500000000000004E-2</v>
      </c>
    </row>
    <row r="11" spans="2:158">
      <c r="B11" s="37" t="s">
        <v>1450</v>
      </c>
      <c r="AY11" s="46">
        <f t="shared" ref="AY11:BN11" si="17">AY6/AU6-1</f>
        <v>9.4614997483643659E-2</v>
      </c>
      <c r="AZ11" s="46">
        <f t="shared" si="17"/>
        <v>0.74980813507290844</v>
      </c>
      <c r="BA11" s="46">
        <f t="shared" si="17"/>
        <v>0.29710144927536231</v>
      </c>
      <c r="BB11" s="46">
        <f t="shared" si="17"/>
        <v>0.10492107706592391</v>
      </c>
      <c r="BC11" s="46">
        <f t="shared" si="17"/>
        <v>0.14620689655172425</v>
      </c>
      <c r="BD11" s="46">
        <f t="shared" si="17"/>
        <v>0.10394736842105257</v>
      </c>
      <c r="BE11" s="46">
        <f t="shared" si="17"/>
        <v>0.11688869789428447</v>
      </c>
      <c r="BF11" s="46">
        <f t="shared" si="17"/>
        <v>0.10630252100840365</v>
      </c>
      <c r="BG11" s="46">
        <f t="shared" si="17"/>
        <v>0.1359807460890492</v>
      </c>
      <c r="BH11" s="46">
        <f t="shared" si="17"/>
        <v>0.14143822010329776</v>
      </c>
      <c r="BI11" s="46">
        <f t="shared" si="17"/>
        <v>0.12697191227395144</v>
      </c>
      <c r="BJ11" s="46">
        <f t="shared" si="17"/>
        <v>0.15609570831750808</v>
      </c>
      <c r="BK11" s="46">
        <f t="shared" si="17"/>
        <v>0.10699152542372881</v>
      </c>
      <c r="BL11" s="46">
        <f t="shared" si="17"/>
        <v>0.10442046641141656</v>
      </c>
      <c r="BM11" s="46">
        <f t="shared" si="17"/>
        <v>0.12290884260839885</v>
      </c>
      <c r="BN11" s="46">
        <f t="shared" si="17"/>
        <v>0.1412614980289093</v>
      </c>
      <c r="BO11" s="46">
        <f t="shared" si="15"/>
        <v>0.15789473684210531</v>
      </c>
      <c r="BP11" s="46">
        <f t="shared" si="15"/>
        <v>0.2329026158209897</v>
      </c>
      <c r="BQ11" s="46">
        <f t="shared" si="15"/>
        <v>0.20097294010337508</v>
      </c>
      <c r="BR11" s="46">
        <f t="shared" si="15"/>
        <v>0.21761658031088094</v>
      </c>
      <c r="BS11" s="46">
        <f t="shared" si="15"/>
        <v>0.19476584022038557</v>
      </c>
      <c r="BT11" s="46">
        <f t="shared" si="15"/>
        <v>0.20756646216768893</v>
      </c>
      <c r="BU11" s="46">
        <f t="shared" si="15"/>
        <v>0.2207594936708861</v>
      </c>
      <c r="CL11" s="46"/>
      <c r="CM11" s="46">
        <f t="shared" ref="CM11:CO12" si="18">CM6/CL6-1</f>
        <v>0.26581928709588287</v>
      </c>
      <c r="CN11" s="46">
        <f t="shared" si="18"/>
        <v>0.11787819253438103</v>
      </c>
      <c r="CO11" s="46">
        <f t="shared" si="18"/>
        <v>0.14020699082210486</v>
      </c>
      <c r="CP11" s="46">
        <f t="shared" si="13"/>
        <v>0.11928412399383448</v>
      </c>
      <c r="CQ11" s="46">
        <f t="shared" si="13"/>
        <v>0.20281539285441075</v>
      </c>
      <c r="CR11" s="68">
        <v>0.16</v>
      </c>
      <c r="CS11" s="68">
        <v>0.15</v>
      </c>
      <c r="CT11" s="68">
        <v>0.14499999999999999</v>
      </c>
      <c r="CU11" s="68">
        <v>0.14000000000000001</v>
      </c>
      <c r="CV11" s="68">
        <v>0.13500000000000001</v>
      </c>
      <c r="CW11" s="68">
        <v>0.13</v>
      </c>
      <c r="CX11" s="68">
        <v>0.11</v>
      </c>
      <c r="CY11" s="68">
        <v>9.5000000000000001E-2</v>
      </c>
      <c r="CZ11" s="68">
        <v>7.4999999999999997E-2</v>
      </c>
      <c r="DA11" s="68">
        <v>6.5000000000000002E-2</v>
      </c>
    </row>
    <row r="12" spans="2:158" s="2" customFormat="1" ht="15" customHeight="1">
      <c r="B12" s="33" t="s">
        <v>1451</v>
      </c>
      <c r="AY12" s="48">
        <f t="shared" ref="AY12:BN12" si="19">AY7/AU7-1</f>
        <v>0.1751705320600272</v>
      </c>
      <c r="AZ12" s="48">
        <f t="shared" si="19"/>
        <v>0.71810820326252811</v>
      </c>
      <c r="BA12" s="48">
        <f t="shared" si="19"/>
        <v>0.3021248956110234</v>
      </c>
      <c r="BB12" s="48">
        <f t="shared" si="19"/>
        <v>0.16672936573621278</v>
      </c>
      <c r="BC12" s="48">
        <f t="shared" si="19"/>
        <v>0.15138147202228946</v>
      </c>
      <c r="BD12" s="48">
        <f t="shared" si="19"/>
        <v>3.9685792349726912E-2</v>
      </c>
      <c r="BE12" s="48">
        <f t="shared" si="19"/>
        <v>0.10981258462196264</v>
      </c>
      <c r="BF12" s="48">
        <f t="shared" si="19"/>
        <v>6.7259947120655195E-2</v>
      </c>
      <c r="BG12" s="48">
        <f t="shared" si="19"/>
        <v>0.14014922363379712</v>
      </c>
      <c r="BH12" s="48">
        <f t="shared" si="19"/>
        <v>0.15360357400959201</v>
      </c>
      <c r="BI12" s="48">
        <f t="shared" si="19"/>
        <v>0.11962244766919228</v>
      </c>
      <c r="BJ12" s="48">
        <f t="shared" si="19"/>
        <v>0.16513595166163131</v>
      </c>
      <c r="BK12" s="48">
        <f t="shared" si="19"/>
        <v>0.11460912628227815</v>
      </c>
      <c r="BL12" s="48">
        <f t="shared" si="19"/>
        <v>0.14465516259468081</v>
      </c>
      <c r="BM12" s="48">
        <f t="shared" si="19"/>
        <v>0.16883638240522991</v>
      </c>
      <c r="BN12" s="48">
        <f t="shared" si="19"/>
        <v>0.25162059845459717</v>
      </c>
      <c r="BO12" s="48">
        <f t="shared" si="15"/>
        <v>0.19189675235375003</v>
      </c>
      <c r="BP12" s="48">
        <f t="shared" si="15"/>
        <v>0.21399074580824906</v>
      </c>
      <c r="BQ12" s="48">
        <f t="shared" si="15"/>
        <v>0.22869339090329222</v>
      </c>
      <c r="BR12" s="48">
        <f t="shared" si="15"/>
        <v>0.18798425523099227</v>
      </c>
      <c r="BS12" s="48">
        <f t="shared" si="15"/>
        <v>0.22960859146179113</v>
      </c>
      <c r="BT12" s="48">
        <f t="shared" si="15"/>
        <v>0.18536885245901646</v>
      </c>
      <c r="BU12" s="48">
        <f t="shared" si="15"/>
        <v>0.21743470968772471</v>
      </c>
      <c r="BV12" s="34"/>
      <c r="BW12" s="34"/>
      <c r="BX12" s="34"/>
      <c r="BY12" s="34"/>
      <c r="CL12" s="48"/>
      <c r="CM12" s="48">
        <f t="shared" si="18"/>
        <v>0.31013674743024988</v>
      </c>
      <c r="CN12" s="48">
        <f t="shared" si="18"/>
        <v>8.968319293882776E-2</v>
      </c>
      <c r="CO12" s="48">
        <f t="shared" si="18"/>
        <v>0.1449487319597571</v>
      </c>
      <c r="CP12" s="48">
        <f t="shared" ref="CP12:CQ12" si="20">CP7/CO7-1</f>
        <v>0.17237265058042395</v>
      </c>
      <c r="CQ12" s="48">
        <f t="shared" si="20"/>
        <v>0.20506219992576713</v>
      </c>
      <c r="CR12" s="69">
        <f>CR7/CQ7-1</f>
        <v>0.1842491654081555</v>
      </c>
      <c r="CS12" s="69">
        <f t="shared" ref="CS12:DA12" si="21">CS7/CR7-1</f>
        <v>0.1390188754626871</v>
      </c>
      <c r="CT12" s="69">
        <f t="shared" si="21"/>
        <v>0.12982593265888975</v>
      </c>
      <c r="CU12" s="69">
        <f t="shared" si="21"/>
        <v>0.12930534692280271</v>
      </c>
      <c r="CV12" s="69">
        <f t="shared" si="21"/>
        <v>0.12146300867549797</v>
      </c>
      <c r="CW12" s="69">
        <f t="shared" si="21"/>
        <v>0.11370730450637168</v>
      </c>
      <c r="CX12" s="69">
        <f t="shared" si="21"/>
        <v>9.8433871575284382E-2</v>
      </c>
      <c r="CY12" s="69">
        <f t="shared" si="21"/>
        <v>8.2619363744378616E-2</v>
      </c>
      <c r="CZ12" s="69">
        <f t="shared" si="21"/>
        <v>6.999560368787594E-2</v>
      </c>
      <c r="DA12" s="69">
        <f t="shared" si="21"/>
        <v>6.2849409317098592E-2</v>
      </c>
      <c r="DB12" s="34"/>
      <c r="DC12" s="34"/>
      <c r="DD12" s="34"/>
      <c r="DE12" s="34"/>
      <c r="DF12" s="34"/>
      <c r="DG12" s="34"/>
      <c r="DH12" s="34"/>
      <c r="DI12" s="34"/>
      <c r="DJ12" s="34"/>
      <c r="DK12" s="34"/>
      <c r="DL12" s="34"/>
      <c r="DM12" s="34"/>
      <c r="DN12" s="34"/>
      <c r="DO12" s="34"/>
      <c r="DP12" s="34"/>
      <c r="DQ12" s="34"/>
      <c r="DR12" s="34"/>
      <c r="DS12" s="34"/>
      <c r="DT12" s="34"/>
      <c r="DU12" s="34"/>
      <c r="DV12" s="34"/>
      <c r="DW12" s="34"/>
      <c r="DX12" s="34"/>
      <c r="DY12" s="34"/>
      <c r="DZ12" s="34"/>
      <c r="EA12" s="34"/>
      <c r="EB12" s="34"/>
      <c r="EC12" s="34"/>
      <c r="ED12" s="34"/>
      <c r="EE12" s="34"/>
      <c r="EF12" s="34"/>
      <c r="EG12" s="34"/>
      <c r="EH12" s="34"/>
      <c r="EI12" s="34"/>
      <c r="EJ12" s="34"/>
      <c r="EK12" s="34"/>
      <c r="EL12" s="34"/>
      <c r="EM12" s="34"/>
      <c r="EN12" s="34"/>
      <c r="EO12" s="34"/>
      <c r="EP12" s="34"/>
      <c r="EQ12" s="34"/>
      <c r="ER12" s="34"/>
      <c r="ES12" s="34"/>
      <c r="ET12" s="34"/>
      <c r="EU12" s="34"/>
      <c r="EV12" s="34"/>
      <c r="EW12" s="34"/>
      <c r="EX12" s="34"/>
      <c r="EY12" s="34"/>
      <c r="EZ12" s="34"/>
      <c r="FA12" s="34"/>
    </row>
    <row r="13" spans="2:158">
      <c r="BP13" s="1"/>
      <c r="BQ13" s="1"/>
    </row>
    <row r="14" spans="2:158">
      <c r="B14" s="37" t="s">
        <v>1452</v>
      </c>
      <c r="AU14" s="46">
        <f t="shared" ref="AU14:BN14" si="22">AU4/AU7</f>
        <v>0.56161891768985905</v>
      </c>
      <c r="AV14" s="46">
        <f t="shared" si="22"/>
        <v>0.54078159840394324</v>
      </c>
      <c r="AW14" s="46">
        <f t="shared" si="22"/>
        <v>0.58504221954161639</v>
      </c>
      <c r="AX14" s="46">
        <f t="shared" si="22"/>
        <v>0.56195922052516734</v>
      </c>
      <c r="AY14" s="46">
        <f t="shared" si="22"/>
        <v>0.54631994427675878</v>
      </c>
      <c r="AZ14" s="46">
        <f t="shared" si="22"/>
        <v>0.54398907103825134</v>
      </c>
      <c r="BA14" s="46">
        <f t="shared" si="22"/>
        <v>0.53830257250766056</v>
      </c>
      <c r="BB14" s="46">
        <f t="shared" si="22"/>
        <v>0.54349648545818019</v>
      </c>
      <c r="BC14" s="46">
        <f t="shared" si="22"/>
        <v>0.54466626335954826</v>
      </c>
      <c r="BD14" s="46">
        <f t="shared" si="22"/>
        <v>0.58820051244990468</v>
      </c>
      <c r="BE14" s="46">
        <f t="shared" si="22"/>
        <v>0.55965069988442273</v>
      </c>
      <c r="BF14" s="46">
        <f t="shared" si="22"/>
        <v>0.56839879154078554</v>
      </c>
      <c r="BG14" s="46">
        <f t="shared" si="22"/>
        <v>0.58106355382619979</v>
      </c>
      <c r="BH14" s="46">
        <f t="shared" si="22"/>
        <v>0.61273421037644515</v>
      </c>
      <c r="BI14" s="46">
        <f t="shared" si="22"/>
        <v>0.61444055743533865</v>
      </c>
      <c r="BJ14" s="46">
        <f t="shared" si="22"/>
        <v>0.59311310480734336</v>
      </c>
      <c r="BK14" s="46">
        <f t="shared" si="22"/>
        <v>0.61298000634719141</v>
      </c>
      <c r="BL14" s="46">
        <f t="shared" si="22"/>
        <v>0.61913528036220711</v>
      </c>
      <c r="BM14" s="46">
        <f t="shared" si="22"/>
        <v>0.62028359746823025</v>
      </c>
      <c r="BN14" s="46">
        <f t="shared" si="22"/>
        <v>0.58483530142945928</v>
      </c>
      <c r="BO14" s="46">
        <f t="shared" ref="BO14:BT14" si="23">BO4/BO7</f>
        <v>0.60694949853554625</v>
      </c>
      <c r="BP14" s="46">
        <f t="shared" si="23"/>
        <v>0.6041393442622951</v>
      </c>
      <c r="BQ14" s="46">
        <f t="shared" si="23"/>
        <v>0.60650107818864307</v>
      </c>
      <c r="BR14" s="46">
        <f t="shared" si="23"/>
        <v>0.578369140625</v>
      </c>
      <c r="BS14" s="46">
        <f t="shared" si="23"/>
        <v>0.60863288580915254</v>
      </c>
      <c r="BT14" s="46">
        <f t="shared" si="23"/>
        <v>0.59983404211181413</v>
      </c>
      <c r="BU14" s="46">
        <f t="shared" ref="BU14" si="24">BU4/BU7</f>
        <v>0.58956276445698175</v>
      </c>
      <c r="CL14" s="46">
        <f t="shared" ref="CL14:CO14" si="25">CL4/CL7</f>
        <v>0.56344071218795888</v>
      </c>
      <c r="CM14" s="46">
        <f t="shared" si="25"/>
        <v>0.5429852366858724</v>
      </c>
      <c r="CN14" s="46">
        <f t="shared" si="25"/>
        <v>0.56537880492430326</v>
      </c>
      <c r="CO14" s="46">
        <f t="shared" si="25"/>
        <v>0.60030038882104397</v>
      </c>
      <c r="CP14" s="46">
        <f>CP4/CP7</f>
        <v>0.60811053507501101</v>
      </c>
      <c r="CQ14" s="46">
        <f>CQ4/CQ7</f>
        <v>0.59801486368333212</v>
      </c>
    </row>
    <row r="15" spans="2:158">
      <c r="B15" s="37" t="s">
        <v>1454</v>
      </c>
      <c r="AU15" s="46">
        <f t="shared" ref="AU15:BN15" si="26">AU5/AU7</f>
        <v>0.25766257389722602</v>
      </c>
      <c r="AV15" s="46">
        <f t="shared" si="26"/>
        <v>0.30630207722098346</v>
      </c>
      <c r="AW15" s="46">
        <f t="shared" si="26"/>
        <v>0.24849215922798554</v>
      </c>
      <c r="AX15" s="46">
        <f t="shared" si="26"/>
        <v>0.27597622451282838</v>
      </c>
      <c r="AY15" s="46">
        <f t="shared" si="26"/>
        <v>0.28534943115857908</v>
      </c>
      <c r="AZ15" s="46">
        <f t="shared" si="26"/>
        <v>0.30027322404371587</v>
      </c>
      <c r="BA15" s="46">
        <f t="shared" si="26"/>
        <v>0.29587401125917479</v>
      </c>
      <c r="BB15" s="46">
        <f t="shared" si="26"/>
        <v>0.3030244405752241</v>
      </c>
      <c r="BC15" s="46">
        <f t="shared" si="26"/>
        <v>0.28775962895745111</v>
      </c>
      <c r="BD15" s="46">
        <f t="shared" si="26"/>
        <v>0.24643584521384929</v>
      </c>
      <c r="BE15" s="46">
        <f t="shared" si="26"/>
        <v>0.27346860151534608</v>
      </c>
      <c r="BF15" s="46">
        <f t="shared" si="26"/>
        <v>0.27250755287009054</v>
      </c>
      <c r="BG15" s="46">
        <f t="shared" si="26"/>
        <v>0.25197500294776559</v>
      </c>
      <c r="BH15" s="46">
        <f t="shared" si="26"/>
        <v>0.22364599350760292</v>
      </c>
      <c r="BI15" s="46">
        <f t="shared" si="26"/>
        <v>0.2175832998795664</v>
      </c>
      <c r="BJ15" s="46">
        <f t="shared" si="26"/>
        <v>0.24902764092724161</v>
      </c>
      <c r="BK15" s="46">
        <f t="shared" si="26"/>
        <v>0.22119961916851791</v>
      </c>
      <c r="BL15" s="46">
        <f t="shared" si="26"/>
        <v>0.22299616896363</v>
      </c>
      <c r="BM15" s="46">
        <f t="shared" si="26"/>
        <v>0.2183406113537118</v>
      </c>
      <c r="BN15" s="46">
        <f t="shared" si="26"/>
        <v>0.27122436295835917</v>
      </c>
      <c r="BO15" s="46">
        <f t="shared" ref="BO15:BT15" si="27">BO5/BO7</f>
        <v>0.23196059288186741</v>
      </c>
      <c r="BP15" s="46">
        <f t="shared" si="27"/>
        <v>0.23553278688524593</v>
      </c>
      <c r="BQ15" s="46">
        <f t="shared" si="27"/>
        <v>0.23576391662007828</v>
      </c>
      <c r="BR15" s="46">
        <f t="shared" si="27"/>
        <v>0.2741001674107143</v>
      </c>
      <c r="BS15" s="46">
        <f t="shared" si="27"/>
        <v>0.2348419229103508</v>
      </c>
      <c r="BT15" s="46">
        <f t="shared" si="27"/>
        <v>0.236835736265256</v>
      </c>
      <c r="BU15" s="46">
        <f t="shared" ref="BU15" si="28">BU5/BU7</f>
        <v>0.25227145996654315</v>
      </c>
      <c r="CL15" s="46">
        <f t="shared" ref="CL15:CO15" si="29">CL5/CL7</f>
        <v>0.27048917033773867</v>
      </c>
      <c r="CM15" s="46">
        <f t="shared" si="29"/>
        <v>0.296562231834819</v>
      </c>
      <c r="CN15" s="46">
        <f t="shared" si="29"/>
        <v>0.2700170357751277</v>
      </c>
      <c r="CO15" s="46">
        <f t="shared" si="29"/>
        <v>0.23577715079799549</v>
      </c>
      <c r="CP15" s="46">
        <f>CP5/CP7</f>
        <v>0.23538990194082923</v>
      </c>
      <c r="CQ15" s="46">
        <f>CQ5/CQ7</f>
        <v>0.24577736268977032</v>
      </c>
    </row>
    <row r="16" spans="2:158">
      <c r="B16" s="37" t="s">
        <v>1453</v>
      </c>
      <c r="AU16" s="46">
        <f t="shared" ref="AU16:BN16" si="30">AU6/AU7</f>
        <v>0.18071850841291495</v>
      </c>
      <c r="AV16" s="46">
        <f t="shared" si="30"/>
        <v>0.15291632437507338</v>
      </c>
      <c r="AW16" s="46">
        <f t="shared" si="30"/>
        <v>0.16646562123039807</v>
      </c>
      <c r="AX16" s="46">
        <f t="shared" si="30"/>
        <v>0.16206455496200436</v>
      </c>
      <c r="AY16" s="46">
        <f t="shared" si="30"/>
        <v>0.16833062456466219</v>
      </c>
      <c r="AZ16" s="46">
        <f t="shared" si="30"/>
        <v>0.15573770491803279</v>
      </c>
      <c r="BA16" s="46">
        <f t="shared" si="30"/>
        <v>0.16582341623316468</v>
      </c>
      <c r="BB16" s="46">
        <f t="shared" si="30"/>
        <v>0.15347907396659571</v>
      </c>
      <c r="BC16" s="46">
        <f t="shared" si="30"/>
        <v>0.1675741076830006</v>
      </c>
      <c r="BD16" s="46">
        <f t="shared" si="30"/>
        <v>0.16536364233624595</v>
      </c>
      <c r="BE16" s="46">
        <f t="shared" si="30"/>
        <v>0.16688069860023114</v>
      </c>
      <c r="BF16" s="46">
        <f t="shared" si="30"/>
        <v>0.15909365558912386</v>
      </c>
      <c r="BG16" s="46">
        <f t="shared" si="30"/>
        <v>0.16696144322603465</v>
      </c>
      <c r="BH16" s="46">
        <f t="shared" si="30"/>
        <v>0.16361979611595193</v>
      </c>
      <c r="BI16" s="46">
        <f t="shared" si="30"/>
        <v>0.16797614268509486</v>
      </c>
      <c r="BJ16" s="46">
        <f t="shared" si="30"/>
        <v>0.15785925426541511</v>
      </c>
      <c r="BK16" s="46">
        <f t="shared" si="30"/>
        <v>0.16582037448429068</v>
      </c>
      <c r="BL16" s="46">
        <f t="shared" si="30"/>
        <v>0.15786855067416289</v>
      </c>
      <c r="BM16" s="46">
        <f t="shared" si="30"/>
        <v>0.161375791178058</v>
      </c>
      <c r="BN16" s="46">
        <f t="shared" si="30"/>
        <v>0.14394033561218147</v>
      </c>
      <c r="BO16" s="46">
        <f t="shared" ref="BO16:BT16" si="31">BO6/BO7</f>
        <v>0.16108990858258632</v>
      </c>
      <c r="BP16" s="46">
        <f t="shared" si="31"/>
        <v>0.16032786885245903</v>
      </c>
      <c r="BQ16" s="46">
        <f t="shared" si="31"/>
        <v>0.15773500519127867</v>
      </c>
      <c r="BR16" s="46">
        <f t="shared" si="31"/>
        <v>0.14753069196428573</v>
      </c>
      <c r="BS16" s="46">
        <f t="shared" si="31"/>
        <v>0.15652519128049661</v>
      </c>
      <c r="BT16" s="46">
        <f t="shared" si="31"/>
        <v>0.16333022162292982</v>
      </c>
      <c r="BU16" s="46">
        <f t="shared" ref="BU16" si="32">BU6/BU7</f>
        <v>0.15816577557647524</v>
      </c>
      <c r="CL16" s="46">
        <f t="shared" ref="CL16:CO16" si="33">CL6/CL7</f>
        <v>0.1660701174743025</v>
      </c>
      <c r="CM16" s="46">
        <f t="shared" si="33"/>
        <v>0.1604525314793086</v>
      </c>
      <c r="CN16" s="46">
        <f t="shared" si="33"/>
        <v>0.16460415930056893</v>
      </c>
      <c r="CO16" s="46">
        <f t="shared" si="33"/>
        <v>0.16392246038096037</v>
      </c>
      <c r="CP16" s="46">
        <f>CP6/CP7</f>
        <v>0.15649956298415965</v>
      </c>
      <c r="CQ16" s="46">
        <f>CQ6/CQ7</f>
        <v>0.15620777362689772</v>
      </c>
    </row>
    <row r="17" spans="2:157">
      <c r="BP17" s="1"/>
      <c r="BQ17" s="1"/>
    </row>
    <row r="18" spans="2:157" s="2" customFormat="1" ht="15">
      <c r="B18" s="2" t="s">
        <v>120</v>
      </c>
      <c r="C18" s="47">
        <v>188.4</v>
      </c>
      <c r="D18" s="47">
        <v>260.60000000000002</v>
      </c>
      <c r="E18" s="47">
        <v>280.10000000000002</v>
      </c>
      <c r="F18" s="47">
        <v>323.10000000000002</v>
      </c>
      <c r="G18" s="47">
        <v>328.6</v>
      </c>
      <c r="H18" s="47">
        <v>350.7</v>
      </c>
      <c r="I18" s="47">
        <v>344.4</v>
      </c>
      <c r="J18" s="47">
        <v>389.3</v>
      </c>
      <c r="K18" s="47">
        <v>388.1</v>
      </c>
      <c r="L18" s="47">
        <v>425.7</v>
      </c>
      <c r="M18" s="47">
        <v>446.7</v>
      </c>
      <c r="N18" s="47">
        <v>496.8</v>
      </c>
      <c r="O18" s="47">
        <v>495.2</v>
      </c>
      <c r="P18" s="47">
        <v>536.5</v>
      </c>
      <c r="Q18" s="47">
        <v>537.79999999999995</v>
      </c>
      <c r="R18" s="47">
        <v>609.29999999999995</v>
      </c>
      <c r="S18" s="47">
        <v>611.4</v>
      </c>
      <c r="T18" s="47">
        <v>578.5</v>
      </c>
      <c r="U18" s="47">
        <v>499</v>
      </c>
      <c r="V18" s="47">
        <v>576.20000000000005</v>
      </c>
      <c r="W18" s="47">
        <v>464.7</v>
      </c>
      <c r="X18" s="47">
        <v>512.20000000000005</v>
      </c>
      <c r="Y18" s="47">
        <v>550.1</v>
      </c>
      <c r="Z18" s="47">
        <v>604.70000000000005</v>
      </c>
      <c r="AA18" s="47">
        <v>532.1</v>
      </c>
      <c r="AB18" s="47">
        <v>586.1</v>
      </c>
      <c r="AC18" s="47">
        <v>589.70000000000005</v>
      </c>
      <c r="AD18" s="47">
        <v>676.5</v>
      </c>
      <c r="AE18" s="47">
        <v>594.5</v>
      </c>
      <c r="AF18" s="47">
        <v>670.1</v>
      </c>
      <c r="AG18" s="47">
        <v>682.9</v>
      </c>
      <c r="AH18" s="47">
        <v>759</v>
      </c>
      <c r="AI18" s="47">
        <v>679.6</v>
      </c>
      <c r="AJ18" s="47">
        <v>758.8</v>
      </c>
      <c r="AK18" s="47">
        <v>807.8</v>
      </c>
      <c r="AL18" s="47">
        <v>892</v>
      </c>
      <c r="AM18" s="47">
        <v>847.5</v>
      </c>
      <c r="AN18" s="47">
        <v>909.3</v>
      </c>
      <c r="AO18" s="47">
        <v>920.9</v>
      </c>
      <c r="AP18" s="47">
        <v>1046.5</v>
      </c>
      <c r="AQ18" s="47">
        <v>973.7</v>
      </c>
      <c r="AR18" s="47">
        <v>1098.9000000000001</v>
      </c>
      <c r="AS18" s="47">
        <v>1128.2</v>
      </c>
      <c r="AT18" s="47">
        <v>1277.7</v>
      </c>
      <c r="AU18" s="47">
        <f t="shared" ref="AU18:BO18" si="34">AU7</f>
        <v>1099.5</v>
      </c>
      <c r="AV18" s="47">
        <f t="shared" si="34"/>
        <v>852.09999999999991</v>
      </c>
      <c r="AW18" s="47">
        <f t="shared" si="34"/>
        <v>1077.7</v>
      </c>
      <c r="AX18" s="47">
        <f t="shared" si="34"/>
        <v>1329.1</v>
      </c>
      <c r="AY18" s="47">
        <f t="shared" si="34"/>
        <v>1292.0999999999999</v>
      </c>
      <c r="AZ18" s="47">
        <f t="shared" si="34"/>
        <v>1464</v>
      </c>
      <c r="BA18" s="47">
        <f t="shared" si="34"/>
        <v>1403.3</v>
      </c>
      <c r="BB18" s="47">
        <f t="shared" si="34"/>
        <v>1550.7000000000003</v>
      </c>
      <c r="BC18" s="47">
        <f t="shared" si="34"/>
        <v>1487.7</v>
      </c>
      <c r="BD18" s="47">
        <f t="shared" si="34"/>
        <v>1522.1000000000001</v>
      </c>
      <c r="BE18" s="47">
        <f t="shared" si="34"/>
        <v>1557.4</v>
      </c>
      <c r="BF18" s="47">
        <f t="shared" si="34"/>
        <v>1655.0000000000005</v>
      </c>
      <c r="BG18" s="47">
        <f t="shared" si="34"/>
        <v>1696.2</v>
      </c>
      <c r="BH18" s="47">
        <f t="shared" si="34"/>
        <v>1755.9</v>
      </c>
      <c r="BI18" s="47">
        <f t="shared" si="34"/>
        <v>1743.7000000000003</v>
      </c>
      <c r="BJ18" s="47">
        <f t="shared" si="34"/>
        <v>1928.3000000000002</v>
      </c>
      <c r="BK18" s="47">
        <f t="shared" si="34"/>
        <v>1890.6000000000001</v>
      </c>
      <c r="BL18" s="47">
        <f t="shared" si="34"/>
        <v>2009.9</v>
      </c>
      <c r="BM18" s="47">
        <f t="shared" si="34"/>
        <v>2038.1</v>
      </c>
      <c r="BN18" s="47">
        <f t="shared" si="34"/>
        <v>2413.5</v>
      </c>
      <c r="BO18" s="47">
        <f t="shared" si="34"/>
        <v>2253.4</v>
      </c>
      <c r="BP18" s="47">
        <f t="shared" ref="BP18:BU18" si="35">BP7</f>
        <v>2440</v>
      </c>
      <c r="BQ18" s="47">
        <f t="shared" si="35"/>
        <v>2504.1999999999998</v>
      </c>
      <c r="BR18" s="47">
        <f t="shared" si="35"/>
        <v>2867.2</v>
      </c>
      <c r="BS18" s="47">
        <f t="shared" si="35"/>
        <v>2770.8</v>
      </c>
      <c r="BT18" s="47">
        <f t="shared" si="35"/>
        <v>2892.3</v>
      </c>
      <c r="BU18" s="47">
        <f t="shared" si="35"/>
        <v>3048.7</v>
      </c>
      <c r="BV18" s="34"/>
      <c r="BW18" s="34"/>
      <c r="BX18" s="34"/>
      <c r="BY18" s="34"/>
      <c r="CA18" s="47">
        <f>SUM(C18:F18)</f>
        <v>1052.2</v>
      </c>
      <c r="CB18" s="47">
        <f>SUM(G18:J18)</f>
        <v>1413</v>
      </c>
      <c r="CC18" s="47">
        <f>SUM(K18:N18)</f>
        <v>1757.3</v>
      </c>
      <c r="CD18" s="47">
        <f>SUM(O18:R18)</f>
        <v>2178.8000000000002</v>
      </c>
      <c r="CE18" s="47">
        <f>SUM(S18:V18)</f>
        <v>2265.1000000000004</v>
      </c>
      <c r="CF18" s="47">
        <f>SUM(W18:Z18)</f>
        <v>2131.6999999999998</v>
      </c>
      <c r="CG18" s="47">
        <f>SUM(AA18:AD18)</f>
        <v>2384.4</v>
      </c>
      <c r="CH18" s="47">
        <f>SUM(AE18:AH18)</f>
        <v>2706.5</v>
      </c>
      <c r="CI18" s="47">
        <f>SUM(AI18:AL18)</f>
        <v>3138.2</v>
      </c>
      <c r="CJ18" s="47">
        <f>SUM(AM18:AP18)</f>
        <v>3724.2</v>
      </c>
      <c r="CK18" s="47">
        <f>SUM(AQ18:AT18)</f>
        <v>4478.5</v>
      </c>
      <c r="CL18" s="47">
        <f t="shared" ref="CL18:CL29" si="36">SUM(AU18:AX18)</f>
        <v>4358.3999999999996</v>
      </c>
      <c r="CM18" s="47">
        <f t="shared" ref="CM18:CM29" si="37">SUM(AY18:BB18)</f>
        <v>5710.1</v>
      </c>
      <c r="CN18" s="47">
        <f t="shared" ref="CN18:CN29" si="38">SUM(BC18:BF18)</f>
        <v>6222.2000000000007</v>
      </c>
      <c r="CO18" s="47">
        <f t="shared" ref="CO18:CO29" si="39">SUM(BG18:BJ18)</f>
        <v>7124.1000000000013</v>
      </c>
      <c r="CP18" s="47">
        <f t="shared" ref="CP18:CP29" si="40">SUM(BK18:BN18)</f>
        <v>8352.1</v>
      </c>
      <c r="CQ18" s="47">
        <f t="shared" ref="CQ18:CQ29" si="41">SUM(BO18:BR18)</f>
        <v>10064.799999999999</v>
      </c>
      <c r="CR18" s="71">
        <f t="shared" ref="CR18" si="42">CR7</f>
        <v>11919.231000000002</v>
      </c>
      <c r="CS18" s="71">
        <f t="shared" ref="CS18:DA18" si="43">CS7</f>
        <v>13576.229090000001</v>
      </c>
      <c r="CT18" s="71">
        <f t="shared" si="43"/>
        <v>15338.775693600001</v>
      </c>
      <c r="CU18" s="71">
        <f t="shared" si="43"/>
        <v>17322.161406032003</v>
      </c>
      <c r="CV18" s="71">
        <f t="shared" si="43"/>
        <v>19426.163247171244</v>
      </c>
      <c r="CW18" s="71">
        <f t="shared" si="43"/>
        <v>21635.059906907831</v>
      </c>
      <c r="CX18" s="71">
        <f t="shared" si="43"/>
        <v>23764.682615307978</v>
      </c>
      <c r="CY18" s="71">
        <f t="shared" si="43"/>
        <v>25728.105572571818</v>
      </c>
      <c r="CZ18" s="71">
        <f t="shared" si="43"/>
        <v>27528.95985386939</v>
      </c>
      <c r="DA18" s="71">
        <f t="shared" si="43"/>
        <v>29259.138719799204</v>
      </c>
      <c r="DB18" s="34"/>
      <c r="DC18" s="34"/>
      <c r="DD18" s="34"/>
      <c r="DE18" s="34"/>
      <c r="DF18" s="34"/>
      <c r="DG18" s="34"/>
      <c r="DH18" s="34"/>
      <c r="DI18" s="34"/>
      <c r="DJ18" s="34"/>
      <c r="DK18" s="34"/>
      <c r="DL18" s="34"/>
      <c r="DM18" s="34"/>
      <c r="DN18" s="34"/>
      <c r="DO18" s="34"/>
      <c r="DP18" s="34"/>
      <c r="DQ18" s="34"/>
      <c r="DR18" s="34"/>
      <c r="DS18" s="34"/>
      <c r="DT18" s="34"/>
      <c r="DU18" s="34"/>
      <c r="DV18" s="34"/>
      <c r="DW18" s="34"/>
      <c r="DX18" s="34"/>
      <c r="DY18" s="34"/>
      <c r="DZ18" s="34"/>
      <c r="EA18" s="34"/>
      <c r="EB18" s="34"/>
      <c r="EC18" s="34"/>
      <c r="ED18" s="34"/>
      <c r="EE18" s="34"/>
      <c r="EF18" s="34"/>
      <c r="EG18" s="34"/>
      <c r="EH18" s="34"/>
      <c r="EI18" s="34"/>
      <c r="EJ18" s="34"/>
      <c r="EK18" s="34"/>
      <c r="EL18" s="34"/>
      <c r="EM18" s="34"/>
      <c r="EN18" s="34"/>
      <c r="EO18" s="34"/>
      <c r="EP18" s="34"/>
      <c r="EQ18" s="34"/>
      <c r="ER18" s="34"/>
      <c r="ES18" s="34"/>
      <c r="ET18" s="34"/>
      <c r="EU18" s="34"/>
      <c r="EV18" s="34"/>
      <c r="EW18" s="34"/>
      <c r="EX18" s="34"/>
      <c r="EY18" s="34"/>
      <c r="EZ18" s="34"/>
      <c r="FA18" s="34"/>
    </row>
    <row r="19" spans="2:157">
      <c r="B19" s="1" t="s">
        <v>1479</v>
      </c>
      <c r="C19" s="45">
        <v>59.7</v>
      </c>
      <c r="D19" s="45">
        <v>70.400000000000006</v>
      </c>
      <c r="E19" s="45">
        <v>81.099999999999994</v>
      </c>
      <c r="F19" s="45">
        <v>89.9</v>
      </c>
      <c r="G19" s="45">
        <v>88.1</v>
      </c>
      <c r="H19" s="45">
        <v>93.9</v>
      </c>
      <c r="I19" s="45">
        <v>93.8</v>
      </c>
      <c r="J19" s="45">
        <v>107.2</v>
      </c>
      <c r="K19" s="45">
        <v>109.3</v>
      </c>
      <c r="L19" s="45">
        <v>119.1</v>
      </c>
      <c r="M19" s="45">
        <v>121.2</v>
      </c>
      <c r="N19" s="45">
        <v>133.9</v>
      </c>
      <c r="O19" s="45">
        <v>139.30000000000001</v>
      </c>
      <c r="P19" s="45">
        <v>150.1</v>
      </c>
      <c r="Q19" s="45">
        <v>147.69999999999999</v>
      </c>
      <c r="R19" s="45">
        <v>171.4</v>
      </c>
      <c r="S19" s="45">
        <v>177.1</v>
      </c>
      <c r="T19" s="45">
        <v>173.3</v>
      </c>
      <c r="U19" s="45">
        <v>142.30000000000001</v>
      </c>
      <c r="V19" s="45">
        <v>178.2</v>
      </c>
      <c r="W19" s="45">
        <v>149.30000000000001</v>
      </c>
      <c r="X19" s="45">
        <v>167.8</v>
      </c>
      <c r="Y19" s="45">
        <v>189.5</v>
      </c>
      <c r="Z19" s="45">
        <v>211.3</v>
      </c>
      <c r="AA19" s="45">
        <v>195.3</v>
      </c>
      <c r="AB19" s="45">
        <v>199.6</v>
      </c>
      <c r="AC19" s="45">
        <v>193.9</v>
      </c>
      <c r="AD19" s="45">
        <v>217.7</v>
      </c>
      <c r="AE19" s="45">
        <v>189.5</v>
      </c>
      <c r="AF19" s="45">
        <v>199.2</v>
      </c>
      <c r="AG19" s="45">
        <v>195.9</v>
      </c>
      <c r="AH19" s="45">
        <v>229</v>
      </c>
      <c r="AI19" s="45">
        <v>209.8</v>
      </c>
      <c r="AJ19" s="45">
        <v>228.7</v>
      </c>
      <c r="AK19" s="45">
        <v>239.7</v>
      </c>
      <c r="AL19" s="45">
        <v>258</v>
      </c>
      <c r="AM19" s="45">
        <v>253.7</v>
      </c>
      <c r="AN19" s="45">
        <v>277</v>
      </c>
      <c r="AO19" s="45">
        <v>278.60000000000002</v>
      </c>
      <c r="AP19" s="45">
        <v>310.8</v>
      </c>
      <c r="AQ19" s="45">
        <v>304.10000000000002</v>
      </c>
      <c r="AR19" s="45">
        <v>339.9</v>
      </c>
      <c r="AS19" s="45">
        <v>342.6</v>
      </c>
      <c r="AT19" s="45">
        <v>381.7</v>
      </c>
      <c r="AU19" s="45">
        <v>361.3</v>
      </c>
      <c r="AV19" s="45">
        <v>349.2</v>
      </c>
      <c r="AW19" s="45">
        <v>353.4</v>
      </c>
      <c r="AX19" s="45">
        <f>1497.2-SUM(AU19:AW19)</f>
        <v>433.29999999999995</v>
      </c>
      <c r="AY19" s="45">
        <v>389.5</v>
      </c>
      <c r="AZ19" s="45">
        <v>440.3</v>
      </c>
      <c r="BA19" s="45">
        <v>431.9</v>
      </c>
      <c r="BB19" s="45">
        <f>1751.6-SUM(AY19:BA19)</f>
        <v>489.90000000000009</v>
      </c>
      <c r="BC19" s="45">
        <v>478</v>
      </c>
      <c r="BD19" s="45">
        <v>498.8</v>
      </c>
      <c r="BE19" s="45">
        <v>505.3</v>
      </c>
      <c r="BF19" s="45">
        <f>2026.2-SUM(BC19:BE19)</f>
        <v>544.10000000000014</v>
      </c>
      <c r="BG19" s="45">
        <v>583.20000000000005</v>
      </c>
      <c r="BH19" s="45">
        <v>584</v>
      </c>
      <c r="BI19" s="45">
        <v>576.5</v>
      </c>
      <c r="BJ19" s="45">
        <f>2394.6-SUM(BG19:BI19)</f>
        <v>650.89999999999986</v>
      </c>
      <c r="BK19" s="45">
        <v>645.20000000000005</v>
      </c>
      <c r="BL19" s="45">
        <v>637.20000000000005</v>
      </c>
      <c r="BM19" s="45">
        <v>664.2</v>
      </c>
      <c r="BN19" s="45">
        <f>2717.9-SUM(BK19:BM19)</f>
        <v>771.3</v>
      </c>
      <c r="BO19" s="45">
        <v>795.7</v>
      </c>
      <c r="BP19" s="45">
        <v>822.1</v>
      </c>
      <c r="BQ19" s="45">
        <v>842.7</v>
      </c>
      <c r="BR19" s="45">
        <v>961.9</v>
      </c>
      <c r="BS19" s="45">
        <v>940.3</v>
      </c>
      <c r="BT19" s="45">
        <v>931.9</v>
      </c>
      <c r="BU19" s="45">
        <v>964.4</v>
      </c>
      <c r="CA19" s="45">
        <f t="shared" ref="CA19:CA31" si="44">SUM(C19:F19)</f>
        <v>301.10000000000002</v>
      </c>
      <c r="CB19" s="45">
        <f t="shared" ref="CB19:CB31" si="45">SUM(G19:J19)</f>
        <v>383</v>
      </c>
      <c r="CC19" s="45">
        <f t="shared" ref="CC19:CC31" si="46">SUM(K19:N19)</f>
        <v>483.5</v>
      </c>
      <c r="CD19" s="45">
        <f t="shared" ref="CD19:CD31" si="47">SUM(O19:R19)</f>
        <v>608.5</v>
      </c>
      <c r="CE19" s="45">
        <f t="shared" ref="CE19:CE31" si="48">SUM(S19:V19)</f>
        <v>670.9</v>
      </c>
      <c r="CF19" s="45">
        <f t="shared" ref="CF19:CF31" si="49">SUM(W19:Z19)</f>
        <v>717.90000000000009</v>
      </c>
      <c r="CG19" s="45">
        <f t="shared" ref="CG19:CG31" si="50">SUM(AA19:AD19)</f>
        <v>806.5</v>
      </c>
      <c r="CH19" s="45">
        <f t="shared" ref="CH19:CH31" si="51">SUM(AE19:AH19)</f>
        <v>813.6</v>
      </c>
      <c r="CI19" s="45">
        <f t="shared" ref="CI19:CI31" si="52">SUM(AI19:AL19)</f>
        <v>936.2</v>
      </c>
      <c r="CJ19" s="45">
        <f t="shared" ref="CJ19:CJ31" si="53">SUM(AM19:AP19)</f>
        <v>1120.1000000000001</v>
      </c>
      <c r="CK19" s="45">
        <f t="shared" ref="CK19:CK31" si="54">SUM(AQ19:AT19)</f>
        <v>1368.3</v>
      </c>
      <c r="CL19" s="45">
        <f t="shared" si="36"/>
        <v>1497.2</v>
      </c>
      <c r="CM19" s="45">
        <f t="shared" si="37"/>
        <v>1751.6</v>
      </c>
      <c r="CN19" s="45">
        <f t="shared" si="38"/>
        <v>2026.2</v>
      </c>
      <c r="CO19" s="45">
        <f t="shared" si="39"/>
        <v>2394.6</v>
      </c>
      <c r="CP19" s="45">
        <f t="shared" si="40"/>
        <v>2717.9</v>
      </c>
      <c r="CQ19" s="45">
        <f t="shared" si="41"/>
        <v>3422.4</v>
      </c>
      <c r="CR19" s="70">
        <f t="shared" ref="CR19" si="55">CR18*(1-CR33)</f>
        <v>3921.4269990000003</v>
      </c>
      <c r="CS19" s="70">
        <f t="shared" ref="CS19:DA19" si="56">CS18*(1-CS33)</f>
        <v>4507.30805788</v>
      </c>
      <c r="CT19" s="70">
        <f t="shared" si="56"/>
        <v>5061.7959788879998</v>
      </c>
      <c r="CU19" s="70">
        <f t="shared" si="56"/>
        <v>5698.9911025845286</v>
      </c>
      <c r="CV19" s="70">
        <f t="shared" si="56"/>
        <v>6371.7815450721673</v>
      </c>
      <c r="CW19" s="70">
        <f t="shared" si="56"/>
        <v>7053.0295296519516</v>
      </c>
      <c r="CX19" s="70">
        <f t="shared" si="56"/>
        <v>7723.5218499750918</v>
      </c>
      <c r="CY19" s="70">
        <f t="shared" si="56"/>
        <v>8361.6343110858397</v>
      </c>
      <c r="CZ19" s="70">
        <f t="shared" si="56"/>
        <v>8946.9119525075512</v>
      </c>
      <c r="DA19" s="70">
        <f t="shared" si="56"/>
        <v>9509.2200839347406</v>
      </c>
    </row>
    <row r="20" spans="2:157">
      <c r="B20" s="1" t="s">
        <v>121</v>
      </c>
      <c r="C20" s="45">
        <f t="shared" ref="C20:AT20" si="57">C18-C19</f>
        <v>128.69999999999999</v>
      </c>
      <c r="D20" s="45">
        <f t="shared" si="57"/>
        <v>190.20000000000002</v>
      </c>
      <c r="E20" s="45">
        <f t="shared" si="57"/>
        <v>199.00000000000003</v>
      </c>
      <c r="F20" s="45">
        <f t="shared" si="57"/>
        <v>233.20000000000002</v>
      </c>
      <c r="G20" s="45">
        <f t="shared" si="57"/>
        <v>240.50000000000003</v>
      </c>
      <c r="H20" s="45">
        <f t="shared" si="57"/>
        <v>256.79999999999995</v>
      </c>
      <c r="I20" s="45">
        <f t="shared" si="57"/>
        <v>250.59999999999997</v>
      </c>
      <c r="J20" s="45">
        <f t="shared" si="57"/>
        <v>282.10000000000002</v>
      </c>
      <c r="K20" s="45">
        <f t="shared" si="57"/>
        <v>278.8</v>
      </c>
      <c r="L20" s="45">
        <f t="shared" si="57"/>
        <v>306.60000000000002</v>
      </c>
      <c r="M20" s="45">
        <f t="shared" si="57"/>
        <v>325.5</v>
      </c>
      <c r="N20" s="45">
        <f t="shared" si="57"/>
        <v>362.9</v>
      </c>
      <c r="O20" s="45">
        <f t="shared" si="57"/>
        <v>355.9</v>
      </c>
      <c r="P20" s="45">
        <f t="shared" si="57"/>
        <v>386.4</v>
      </c>
      <c r="Q20" s="45">
        <f t="shared" si="57"/>
        <v>390.09999999999997</v>
      </c>
      <c r="R20" s="45">
        <f t="shared" si="57"/>
        <v>437.9</v>
      </c>
      <c r="S20" s="45">
        <f t="shared" si="57"/>
        <v>434.29999999999995</v>
      </c>
      <c r="T20" s="45">
        <f t="shared" si="57"/>
        <v>405.2</v>
      </c>
      <c r="U20" s="45">
        <f t="shared" si="57"/>
        <v>356.7</v>
      </c>
      <c r="V20" s="45">
        <f t="shared" si="57"/>
        <v>398.00000000000006</v>
      </c>
      <c r="W20" s="45">
        <f t="shared" si="57"/>
        <v>315.39999999999998</v>
      </c>
      <c r="X20" s="45">
        <f t="shared" si="57"/>
        <v>344.40000000000003</v>
      </c>
      <c r="Y20" s="45">
        <f t="shared" si="57"/>
        <v>360.6</v>
      </c>
      <c r="Z20" s="45">
        <f t="shared" si="57"/>
        <v>393.40000000000003</v>
      </c>
      <c r="AA20" s="45">
        <f t="shared" si="57"/>
        <v>336.8</v>
      </c>
      <c r="AB20" s="45">
        <f t="shared" si="57"/>
        <v>386.5</v>
      </c>
      <c r="AC20" s="45">
        <f t="shared" si="57"/>
        <v>395.80000000000007</v>
      </c>
      <c r="AD20" s="45">
        <f t="shared" si="57"/>
        <v>458.8</v>
      </c>
      <c r="AE20" s="45">
        <f t="shared" si="57"/>
        <v>405</v>
      </c>
      <c r="AF20" s="45">
        <f t="shared" si="57"/>
        <v>470.90000000000003</v>
      </c>
      <c r="AG20" s="45">
        <f t="shared" si="57"/>
        <v>487</v>
      </c>
      <c r="AH20" s="45">
        <f t="shared" si="57"/>
        <v>530</v>
      </c>
      <c r="AI20" s="45">
        <f t="shared" si="57"/>
        <v>469.8</v>
      </c>
      <c r="AJ20" s="45">
        <f t="shared" si="57"/>
        <v>530.09999999999991</v>
      </c>
      <c r="AK20" s="45">
        <f t="shared" si="57"/>
        <v>568.09999999999991</v>
      </c>
      <c r="AL20" s="45">
        <f t="shared" si="57"/>
        <v>634</v>
      </c>
      <c r="AM20" s="45">
        <f t="shared" si="57"/>
        <v>593.79999999999995</v>
      </c>
      <c r="AN20" s="45">
        <f t="shared" si="57"/>
        <v>632.29999999999995</v>
      </c>
      <c r="AO20" s="45">
        <f t="shared" si="57"/>
        <v>642.29999999999995</v>
      </c>
      <c r="AP20" s="45">
        <f t="shared" si="57"/>
        <v>735.7</v>
      </c>
      <c r="AQ20" s="45">
        <f t="shared" si="57"/>
        <v>669.6</v>
      </c>
      <c r="AR20" s="45">
        <f t="shared" si="57"/>
        <v>759.00000000000011</v>
      </c>
      <c r="AS20" s="45">
        <f t="shared" si="57"/>
        <v>785.6</v>
      </c>
      <c r="AT20" s="45">
        <f t="shared" si="57"/>
        <v>896</v>
      </c>
      <c r="AU20" s="45">
        <f t="shared" ref="AU20:BP20" si="58">AU18-AU19</f>
        <v>738.2</v>
      </c>
      <c r="AV20" s="45">
        <f t="shared" si="58"/>
        <v>502.89999999999992</v>
      </c>
      <c r="AW20" s="45">
        <f t="shared" si="58"/>
        <v>724.30000000000007</v>
      </c>
      <c r="AX20" s="45">
        <f t="shared" si="58"/>
        <v>895.8</v>
      </c>
      <c r="AY20" s="45">
        <f t="shared" si="58"/>
        <v>902.59999999999991</v>
      </c>
      <c r="AZ20" s="45">
        <f t="shared" si="58"/>
        <v>1023.7</v>
      </c>
      <c r="BA20" s="45">
        <f t="shared" si="58"/>
        <v>971.4</v>
      </c>
      <c r="BB20" s="45">
        <f t="shared" si="58"/>
        <v>1060.8000000000002</v>
      </c>
      <c r="BC20" s="45">
        <f t="shared" si="58"/>
        <v>1009.7</v>
      </c>
      <c r="BD20" s="45">
        <f t="shared" si="58"/>
        <v>1023.3000000000002</v>
      </c>
      <c r="BE20" s="45">
        <f t="shared" si="58"/>
        <v>1052.1000000000001</v>
      </c>
      <c r="BF20" s="45">
        <f t="shared" si="58"/>
        <v>1110.9000000000003</v>
      </c>
      <c r="BG20" s="45">
        <f t="shared" si="58"/>
        <v>1113</v>
      </c>
      <c r="BH20" s="45">
        <f t="shared" si="58"/>
        <v>1171.9000000000001</v>
      </c>
      <c r="BI20" s="45">
        <f t="shared" si="58"/>
        <v>1167.2000000000003</v>
      </c>
      <c r="BJ20" s="45">
        <f t="shared" si="58"/>
        <v>1277.4000000000003</v>
      </c>
      <c r="BK20" s="45">
        <f t="shared" si="58"/>
        <v>1245.4000000000001</v>
      </c>
      <c r="BL20" s="45">
        <f t="shared" si="58"/>
        <v>1372.7</v>
      </c>
      <c r="BM20" s="45">
        <f t="shared" si="58"/>
        <v>1373.8999999999999</v>
      </c>
      <c r="BN20" s="45">
        <f t="shared" si="58"/>
        <v>1642.2</v>
      </c>
      <c r="BO20" s="45">
        <f t="shared" si="58"/>
        <v>1457.7</v>
      </c>
      <c r="BP20" s="45">
        <f t="shared" si="58"/>
        <v>1617.9</v>
      </c>
      <c r="BQ20" s="45">
        <f t="shared" ref="BQ20:BR20" si="59">BQ18-BQ19</f>
        <v>1661.4999999999998</v>
      </c>
      <c r="BR20" s="45">
        <f t="shared" si="59"/>
        <v>1905.2999999999997</v>
      </c>
      <c r="BS20" s="45">
        <f t="shared" ref="BS20:BT20" si="60">BS18-BS19</f>
        <v>1830.5000000000002</v>
      </c>
      <c r="BT20" s="45">
        <f t="shared" si="60"/>
        <v>1960.4</v>
      </c>
      <c r="BU20" s="45">
        <f t="shared" ref="BU20" si="61">BU18-BU19</f>
        <v>2084.2999999999997</v>
      </c>
      <c r="CA20" s="45">
        <f t="shared" si="44"/>
        <v>751.1</v>
      </c>
      <c r="CB20" s="45">
        <f t="shared" si="45"/>
        <v>1030</v>
      </c>
      <c r="CC20" s="45">
        <f t="shared" si="46"/>
        <v>1273.8000000000002</v>
      </c>
      <c r="CD20" s="45">
        <f t="shared" si="47"/>
        <v>1570.2999999999997</v>
      </c>
      <c r="CE20" s="45">
        <f t="shared" si="48"/>
        <v>1594.2</v>
      </c>
      <c r="CF20" s="45">
        <f t="shared" si="49"/>
        <v>1413.8</v>
      </c>
      <c r="CG20" s="45">
        <f t="shared" si="50"/>
        <v>1577.8999999999999</v>
      </c>
      <c r="CH20" s="45">
        <f t="shared" si="51"/>
        <v>1892.9</v>
      </c>
      <c r="CI20" s="45">
        <f t="shared" si="52"/>
        <v>2202</v>
      </c>
      <c r="CJ20" s="45">
        <f t="shared" si="53"/>
        <v>2604.1</v>
      </c>
      <c r="CK20" s="45">
        <f t="shared" si="54"/>
        <v>3110.2000000000003</v>
      </c>
      <c r="CL20" s="45">
        <f t="shared" si="36"/>
        <v>2861.2</v>
      </c>
      <c r="CM20" s="45">
        <f t="shared" si="37"/>
        <v>3958.5</v>
      </c>
      <c r="CN20" s="45">
        <f t="shared" si="38"/>
        <v>4196.0000000000009</v>
      </c>
      <c r="CO20" s="45">
        <f t="shared" si="39"/>
        <v>4729.5000000000009</v>
      </c>
      <c r="CP20" s="45">
        <f t="shared" si="40"/>
        <v>5634.2</v>
      </c>
      <c r="CQ20" s="45">
        <f t="shared" si="41"/>
        <v>6642.4</v>
      </c>
      <c r="CR20" s="70">
        <f t="shared" ref="CR20" si="62">CR18*CR33</f>
        <v>7997.8040010000013</v>
      </c>
      <c r="CS20" s="70">
        <f t="shared" ref="CS20:DA20" si="63">CS18*CS33</f>
        <v>9068.9210321200007</v>
      </c>
      <c r="CT20" s="70">
        <f t="shared" si="63"/>
        <v>10276.979714712001</v>
      </c>
      <c r="CU20" s="70">
        <f t="shared" si="63"/>
        <v>11623.170303447474</v>
      </c>
      <c r="CV20" s="70">
        <f t="shared" si="63"/>
        <v>13054.381702099077</v>
      </c>
      <c r="CW20" s="70">
        <f t="shared" si="63"/>
        <v>14582.030377255878</v>
      </c>
      <c r="CX20" s="70">
        <f t="shared" si="63"/>
        <v>16041.160765332887</v>
      </c>
      <c r="CY20" s="70">
        <f t="shared" si="63"/>
        <v>17366.471261485978</v>
      </c>
      <c r="CZ20" s="70">
        <f t="shared" si="63"/>
        <v>18582.047901361839</v>
      </c>
      <c r="DA20" s="70">
        <f t="shared" si="63"/>
        <v>19749.918635864466</v>
      </c>
    </row>
    <row r="21" spans="2:157">
      <c r="B21" s="1" t="s">
        <v>1455</v>
      </c>
      <c r="C21" s="45">
        <v>62.4</v>
      </c>
      <c r="D21" s="45">
        <v>67.3</v>
      </c>
      <c r="E21" s="45">
        <v>69.900000000000006</v>
      </c>
      <c r="F21" s="45">
        <v>79</v>
      </c>
      <c r="G21" s="45">
        <v>82.8</v>
      </c>
      <c r="H21" s="45">
        <v>88.6</v>
      </c>
      <c r="I21" s="45">
        <v>91.6</v>
      </c>
      <c r="J21" s="45">
        <v>95.8</v>
      </c>
      <c r="K21" s="45">
        <v>99.1</v>
      </c>
      <c r="L21" s="45">
        <v>106.5</v>
      </c>
      <c r="M21" s="45">
        <v>111.2</v>
      </c>
      <c r="N21" s="45">
        <v>122</v>
      </c>
      <c r="O21" s="45">
        <v>124.2</v>
      </c>
      <c r="P21" s="45">
        <v>120.9</v>
      </c>
      <c r="Q21" s="45">
        <v>129</v>
      </c>
      <c r="R21" s="45">
        <v>148.1</v>
      </c>
      <c r="S21" s="45">
        <v>141.5</v>
      </c>
      <c r="T21" s="45">
        <v>145.5</v>
      </c>
      <c r="U21" s="45">
        <v>139.30000000000001</v>
      </c>
      <c r="V21" s="45">
        <v>147.69999999999999</v>
      </c>
      <c r="W21" s="45">
        <v>215.8</v>
      </c>
      <c r="X21" s="45">
        <v>161.19999999999999</v>
      </c>
      <c r="Y21" s="45">
        <v>154</v>
      </c>
      <c r="Z21" s="45">
        <v>160</v>
      </c>
      <c r="AA21" s="45">
        <v>162</v>
      </c>
      <c r="AB21" s="45">
        <v>163.30000000000001</v>
      </c>
      <c r="AC21" s="45">
        <v>154.9</v>
      </c>
      <c r="AD21" s="45">
        <v>160.30000000000001</v>
      </c>
      <c r="AE21" s="45">
        <v>172.8</v>
      </c>
      <c r="AF21" s="45">
        <v>170.8</v>
      </c>
      <c r="AG21" s="45">
        <v>168</v>
      </c>
      <c r="AH21" s="45">
        <v>192</v>
      </c>
      <c r="AI21" s="45">
        <v>202.9</v>
      </c>
      <c r="AJ21" s="45">
        <v>185.6</v>
      </c>
      <c r="AK21" s="45">
        <v>204.1</v>
      </c>
      <c r="AL21" s="45">
        <v>217.9</v>
      </c>
      <c r="AM21" s="45">
        <v>221.6</v>
      </c>
      <c r="AN21" s="45">
        <v>259.8</v>
      </c>
      <c r="AO21" s="45">
        <v>221.4</v>
      </c>
      <c r="AP21" s="45">
        <v>283.8</v>
      </c>
      <c r="AQ21" s="45">
        <v>273.39999999999998</v>
      </c>
      <c r="AR21" s="45">
        <v>279.2</v>
      </c>
      <c r="AS21" s="45">
        <v>284</v>
      </c>
      <c r="AT21" s="45">
        <v>341.8</v>
      </c>
      <c r="AU21" s="45">
        <v>308.10000000000002</v>
      </c>
      <c r="AV21" s="45">
        <v>279.10000000000002</v>
      </c>
      <c r="AW21" s="45">
        <v>298.89999999999998</v>
      </c>
      <c r="AX21" s="45">
        <f>1216.3-SUM(AU21:AW21)</f>
        <v>330.19999999999993</v>
      </c>
      <c r="AY21" s="45">
        <v>326</v>
      </c>
      <c r="AZ21" s="45">
        <v>350.2</v>
      </c>
      <c r="BA21" s="45">
        <v>363.3</v>
      </c>
      <c r="BB21" s="45">
        <f>1466.5-SUM(AY21:BA21)</f>
        <v>427</v>
      </c>
      <c r="BC21" s="45">
        <v>391.1</v>
      </c>
      <c r="BD21" s="45">
        <v>418.4</v>
      </c>
      <c r="BE21" s="45">
        <v>436.1</v>
      </c>
      <c r="BF21" s="45">
        <f>1739.9-SUM(BC21:BE21)</f>
        <v>494.30000000000018</v>
      </c>
      <c r="BG21" s="45">
        <v>480.5</v>
      </c>
      <c r="BH21" s="45">
        <v>464.3</v>
      </c>
      <c r="BI21" s="45">
        <v>452</v>
      </c>
      <c r="BJ21" s="45">
        <f>1963.9-SUM(BG21:BI21)</f>
        <v>567.10000000000014</v>
      </c>
      <c r="BK21" s="45">
        <v>491.5</v>
      </c>
      <c r="BL21" s="45">
        <v>525.29999999999995</v>
      </c>
      <c r="BM21" s="45">
        <v>510.6</v>
      </c>
      <c r="BN21" s="45">
        <f>2140-SUM(BK21:BM21)</f>
        <v>612.59999999999991</v>
      </c>
      <c r="BO21" s="45">
        <v>563.4</v>
      </c>
      <c r="BP21" s="45">
        <v>561.20000000000005</v>
      </c>
      <c r="BQ21" s="45">
        <v>573.29999999999995</v>
      </c>
      <c r="BR21" s="45">
        <v>687.1</v>
      </c>
      <c r="BS21" s="45">
        <v>613.29999999999995</v>
      </c>
      <c r="BT21" s="45">
        <v>617.9</v>
      </c>
      <c r="BU21" s="45">
        <v>1083.4000000000001</v>
      </c>
      <c r="CA21" s="45">
        <f t="shared" si="44"/>
        <v>278.60000000000002</v>
      </c>
      <c r="CB21" s="45">
        <f t="shared" si="45"/>
        <v>358.8</v>
      </c>
      <c r="CC21" s="45">
        <f t="shared" si="46"/>
        <v>438.8</v>
      </c>
      <c r="CD21" s="45">
        <f t="shared" si="47"/>
        <v>522.20000000000005</v>
      </c>
      <c r="CE21" s="45">
        <f t="shared" si="48"/>
        <v>574</v>
      </c>
      <c r="CF21" s="45">
        <f t="shared" si="49"/>
        <v>691</v>
      </c>
      <c r="CG21" s="45">
        <f t="shared" si="50"/>
        <v>640.5</v>
      </c>
      <c r="CH21" s="45">
        <f t="shared" si="51"/>
        <v>703.6</v>
      </c>
      <c r="CI21" s="45">
        <f t="shared" si="52"/>
        <v>810.5</v>
      </c>
      <c r="CJ21" s="45">
        <f t="shared" si="53"/>
        <v>986.59999999999991</v>
      </c>
      <c r="CK21" s="45">
        <f t="shared" si="54"/>
        <v>1178.3999999999999</v>
      </c>
      <c r="CL21" s="45">
        <f t="shared" si="36"/>
        <v>1216.3</v>
      </c>
      <c r="CM21" s="45">
        <f t="shared" si="37"/>
        <v>1466.5</v>
      </c>
      <c r="CN21" s="45">
        <f t="shared" si="38"/>
        <v>1739.9</v>
      </c>
      <c r="CO21" s="45">
        <f t="shared" si="39"/>
        <v>1963.9</v>
      </c>
      <c r="CP21" s="45">
        <f t="shared" si="40"/>
        <v>2140</v>
      </c>
      <c r="CQ21" s="45">
        <f t="shared" si="41"/>
        <v>2385</v>
      </c>
      <c r="CR21" s="70">
        <f t="shared" ref="CR21" si="64">CR18*CR34</f>
        <v>2598.3923580000005</v>
      </c>
      <c r="CS21" s="70">
        <f t="shared" ref="CS21:DA21" si="65">CS18*CS34</f>
        <v>2932.4654834400003</v>
      </c>
      <c r="CT21" s="70">
        <f t="shared" si="65"/>
        <v>3297.8367741239999</v>
      </c>
      <c r="CU21" s="70">
        <f t="shared" si="65"/>
        <v>3706.9425408908482</v>
      </c>
      <c r="CV21" s="70">
        <f t="shared" si="65"/>
        <v>4137.7727716474747</v>
      </c>
      <c r="CW21" s="70">
        <f t="shared" si="65"/>
        <v>4586.6327002644603</v>
      </c>
      <c r="CX21" s="70">
        <f t="shared" si="65"/>
        <v>5014.3480318299835</v>
      </c>
      <c r="CY21" s="70">
        <f t="shared" si="65"/>
        <v>5402.9021702400814</v>
      </c>
      <c r="CZ21" s="70">
        <f t="shared" si="65"/>
        <v>5781.0815693125714</v>
      </c>
      <c r="DA21" s="70">
        <f t="shared" si="65"/>
        <v>6144.4191311578325</v>
      </c>
    </row>
    <row r="22" spans="2:157">
      <c r="B22" s="1" t="s">
        <v>1456</v>
      </c>
      <c r="C22" s="45">
        <v>21.3</v>
      </c>
      <c r="D22" s="45">
        <v>23.4</v>
      </c>
      <c r="E22" s="45">
        <v>24.6</v>
      </c>
      <c r="F22" s="45">
        <v>25.8</v>
      </c>
      <c r="G22" s="45">
        <v>28</v>
      </c>
      <c r="H22" s="45">
        <v>28.5</v>
      </c>
      <c r="I22" s="45">
        <v>26.9</v>
      </c>
      <c r="J22" s="45">
        <v>32.6</v>
      </c>
      <c r="K22" s="45">
        <v>31.4</v>
      </c>
      <c r="L22" s="45">
        <v>32</v>
      </c>
      <c r="M22" s="45">
        <v>35.4</v>
      </c>
      <c r="N22" s="45">
        <v>41.4</v>
      </c>
      <c r="O22" s="45">
        <v>38.4</v>
      </c>
      <c r="P22" s="45">
        <v>40.200000000000003</v>
      </c>
      <c r="Q22" s="45">
        <v>49.7</v>
      </c>
      <c r="R22" s="45">
        <v>41.7</v>
      </c>
      <c r="S22" s="45">
        <v>41.6</v>
      </c>
      <c r="T22" s="45">
        <v>41.2</v>
      </c>
      <c r="U22" s="45">
        <v>43.2</v>
      </c>
      <c r="V22" s="45">
        <v>41.7</v>
      </c>
      <c r="W22" s="45">
        <v>43</v>
      </c>
      <c r="X22" s="45">
        <v>40.200000000000003</v>
      </c>
      <c r="Y22" s="45">
        <v>47.5</v>
      </c>
      <c r="Z22" s="45">
        <v>47.3</v>
      </c>
      <c r="AA22" s="45">
        <v>44.4</v>
      </c>
      <c r="AB22" s="45">
        <v>49.4</v>
      </c>
      <c r="AC22" s="45">
        <v>51</v>
      </c>
      <c r="AD22" s="45">
        <v>52.6</v>
      </c>
      <c r="AE22" s="45">
        <v>53.2</v>
      </c>
      <c r="AF22" s="45">
        <v>54.7</v>
      </c>
      <c r="AG22" s="45">
        <v>62.6</v>
      </c>
      <c r="AH22" s="45">
        <v>69.099999999999994</v>
      </c>
      <c r="AI22" s="45">
        <v>73.5</v>
      </c>
      <c r="AJ22" s="45">
        <v>84.6</v>
      </c>
      <c r="AK22" s="45">
        <v>83.4</v>
      </c>
      <c r="AL22" s="45">
        <v>87.1</v>
      </c>
      <c r="AM22" s="45">
        <v>95.5</v>
      </c>
      <c r="AN22" s="45">
        <v>95.1</v>
      </c>
      <c r="AO22" s="45">
        <v>107.6</v>
      </c>
      <c r="AP22" s="45">
        <v>119.9</v>
      </c>
      <c r="AQ22" s="45">
        <v>144</v>
      </c>
      <c r="AR22" s="45">
        <v>120.8</v>
      </c>
      <c r="AS22" s="45">
        <v>135.9</v>
      </c>
      <c r="AT22" s="45">
        <v>156.6</v>
      </c>
      <c r="AU22" s="45">
        <v>147.1</v>
      </c>
      <c r="AV22" s="45">
        <v>143.19999999999999</v>
      </c>
      <c r="AW22" s="45">
        <v>155</v>
      </c>
      <c r="AX22" s="45">
        <f>595.1-SUM(AU22:AW22)</f>
        <v>149.80000000000007</v>
      </c>
      <c r="AY22" s="45">
        <v>159.80000000000001</v>
      </c>
      <c r="AZ22" s="45">
        <v>162.30000000000001</v>
      </c>
      <c r="BA22" s="45">
        <v>165.5</v>
      </c>
      <c r="BB22" s="45">
        <f>671-SUM(AY22:BA22)</f>
        <v>183.39999999999998</v>
      </c>
      <c r="BC22" s="45">
        <v>210.5</v>
      </c>
      <c r="BD22" s="45">
        <v>207.3</v>
      </c>
      <c r="BE22" s="45">
        <v>217.1</v>
      </c>
      <c r="BF22" s="45">
        <f>879-SUM(BC22:BE22)</f>
        <v>244.10000000000002</v>
      </c>
      <c r="BG22" s="45">
        <v>244.9</v>
      </c>
      <c r="BH22" s="45">
        <v>244.4</v>
      </c>
      <c r="BI22" s="45">
        <v>249.4</v>
      </c>
      <c r="BJ22" s="45">
        <f>998.8-SUM(BG22:BI22)</f>
        <v>260.09999999999991</v>
      </c>
      <c r="BK22" s="45">
        <v>284.5</v>
      </c>
      <c r="BL22" s="45">
        <v>280.10000000000002</v>
      </c>
      <c r="BM22" s="45">
        <v>286</v>
      </c>
      <c r="BN22" s="45">
        <f>1145.3-SUM(BK22:BM22)</f>
        <v>294.69999999999993</v>
      </c>
      <c r="BO22" s="45">
        <v>316.2</v>
      </c>
      <c r="BP22" s="45">
        <v>313.3</v>
      </c>
      <c r="BQ22" s="45">
        <v>329.1</v>
      </c>
      <c r="BR22" s="45">
        <v>352</v>
      </c>
      <c r="BS22" s="45">
        <v>361.9</v>
      </c>
      <c r="BT22" s="45">
        <v>370.6</v>
      </c>
      <c r="BU22" s="45">
        <v>408.3</v>
      </c>
      <c r="CA22" s="45">
        <f t="shared" si="44"/>
        <v>95.100000000000009</v>
      </c>
      <c r="CB22" s="45">
        <f t="shared" si="45"/>
        <v>116</v>
      </c>
      <c r="CC22" s="45">
        <f t="shared" si="46"/>
        <v>140.19999999999999</v>
      </c>
      <c r="CD22" s="45">
        <f t="shared" si="47"/>
        <v>170</v>
      </c>
      <c r="CE22" s="45">
        <f t="shared" si="48"/>
        <v>167.70000000000002</v>
      </c>
      <c r="CF22" s="45">
        <f t="shared" si="49"/>
        <v>178</v>
      </c>
      <c r="CG22" s="45">
        <f t="shared" si="50"/>
        <v>197.4</v>
      </c>
      <c r="CH22" s="45">
        <f t="shared" si="51"/>
        <v>239.6</v>
      </c>
      <c r="CI22" s="45">
        <f t="shared" si="52"/>
        <v>328.6</v>
      </c>
      <c r="CJ22" s="45">
        <f t="shared" si="53"/>
        <v>418.1</v>
      </c>
      <c r="CK22" s="45">
        <f t="shared" si="54"/>
        <v>557.30000000000007</v>
      </c>
      <c r="CL22" s="45">
        <f t="shared" si="36"/>
        <v>595.1</v>
      </c>
      <c r="CM22" s="45">
        <f t="shared" si="37"/>
        <v>671</v>
      </c>
      <c r="CN22" s="45">
        <f t="shared" si="38"/>
        <v>879</v>
      </c>
      <c r="CO22" s="45">
        <f t="shared" si="39"/>
        <v>998.8</v>
      </c>
      <c r="CP22" s="45">
        <f t="shared" si="40"/>
        <v>1145.3</v>
      </c>
      <c r="CQ22" s="45">
        <f t="shared" si="41"/>
        <v>1310.5999999999999</v>
      </c>
      <c r="CR22" s="70">
        <f t="shared" ref="CR22" si="66">CR18*CR35</f>
        <v>1549.5000300000002</v>
      </c>
      <c r="CS22" s="70">
        <f t="shared" ref="CS22:DA22" si="67">CS18*CS35</f>
        <v>1792.0622398800001</v>
      </c>
      <c r="CT22" s="70">
        <f t="shared" si="67"/>
        <v>1994.0408401680002</v>
      </c>
      <c r="CU22" s="70">
        <f t="shared" si="67"/>
        <v>2234.5588213781284</v>
      </c>
      <c r="CV22" s="70">
        <f t="shared" si="67"/>
        <v>2486.548895637919</v>
      </c>
      <c r="CW22" s="70">
        <f t="shared" si="67"/>
        <v>2747.6526081772945</v>
      </c>
      <c r="CX22" s="70">
        <f t="shared" si="67"/>
        <v>2994.3500095288055</v>
      </c>
      <c r="CY22" s="70">
        <f t="shared" si="67"/>
        <v>3216.0131965714772</v>
      </c>
      <c r="CZ22" s="70">
        <f t="shared" si="67"/>
        <v>3441.1199817336737</v>
      </c>
      <c r="DA22" s="70">
        <f t="shared" si="67"/>
        <v>3657.3923399749006</v>
      </c>
    </row>
    <row r="23" spans="2:157">
      <c r="B23" s="1" t="s">
        <v>1457</v>
      </c>
      <c r="C23" s="45">
        <f t="shared" ref="C23:AT23" si="68">C20-SUM(C21:C22)</f>
        <v>44.999999999999986</v>
      </c>
      <c r="D23" s="45">
        <f t="shared" si="68"/>
        <v>99.500000000000028</v>
      </c>
      <c r="E23" s="45">
        <f t="shared" si="68"/>
        <v>104.50000000000003</v>
      </c>
      <c r="F23" s="45">
        <f t="shared" si="68"/>
        <v>128.40000000000003</v>
      </c>
      <c r="G23" s="45">
        <f t="shared" si="68"/>
        <v>129.70000000000005</v>
      </c>
      <c r="H23" s="45">
        <f t="shared" si="68"/>
        <v>139.69999999999996</v>
      </c>
      <c r="I23" s="45">
        <f t="shared" si="68"/>
        <v>132.09999999999997</v>
      </c>
      <c r="J23" s="45">
        <f t="shared" si="68"/>
        <v>153.70000000000002</v>
      </c>
      <c r="K23" s="45">
        <f t="shared" si="68"/>
        <v>148.30000000000001</v>
      </c>
      <c r="L23" s="45">
        <f t="shared" si="68"/>
        <v>168.10000000000002</v>
      </c>
      <c r="M23" s="45">
        <f t="shared" si="68"/>
        <v>178.9</v>
      </c>
      <c r="N23" s="45">
        <f t="shared" si="68"/>
        <v>199.49999999999997</v>
      </c>
      <c r="O23" s="45">
        <f t="shared" si="68"/>
        <v>193.29999999999998</v>
      </c>
      <c r="P23" s="45">
        <f t="shared" si="68"/>
        <v>225.29999999999995</v>
      </c>
      <c r="Q23" s="45">
        <f t="shared" si="68"/>
        <v>211.39999999999998</v>
      </c>
      <c r="R23" s="45">
        <f t="shared" si="68"/>
        <v>248.09999999999997</v>
      </c>
      <c r="S23" s="45">
        <f t="shared" si="68"/>
        <v>251.19999999999996</v>
      </c>
      <c r="T23" s="45">
        <f t="shared" si="68"/>
        <v>218.5</v>
      </c>
      <c r="U23" s="45">
        <f t="shared" si="68"/>
        <v>174.2</v>
      </c>
      <c r="V23" s="45">
        <f t="shared" si="68"/>
        <v>208.60000000000008</v>
      </c>
      <c r="W23" s="45">
        <f t="shared" si="68"/>
        <v>56.599999999999966</v>
      </c>
      <c r="X23" s="45">
        <f t="shared" si="68"/>
        <v>143.00000000000006</v>
      </c>
      <c r="Y23" s="45">
        <f t="shared" si="68"/>
        <v>159.10000000000002</v>
      </c>
      <c r="Z23" s="45">
        <f t="shared" si="68"/>
        <v>186.10000000000002</v>
      </c>
      <c r="AA23" s="45">
        <f t="shared" si="68"/>
        <v>130.4</v>
      </c>
      <c r="AB23" s="45">
        <f t="shared" si="68"/>
        <v>173.79999999999998</v>
      </c>
      <c r="AC23" s="45">
        <f t="shared" si="68"/>
        <v>189.90000000000006</v>
      </c>
      <c r="AD23" s="45">
        <f t="shared" si="68"/>
        <v>245.9</v>
      </c>
      <c r="AE23" s="45">
        <f t="shared" si="68"/>
        <v>179</v>
      </c>
      <c r="AF23" s="45">
        <f t="shared" si="68"/>
        <v>245.40000000000003</v>
      </c>
      <c r="AG23" s="45">
        <f t="shared" si="68"/>
        <v>256.39999999999998</v>
      </c>
      <c r="AH23" s="45">
        <f t="shared" si="68"/>
        <v>268.89999999999998</v>
      </c>
      <c r="AI23" s="45">
        <f t="shared" si="68"/>
        <v>193.40000000000003</v>
      </c>
      <c r="AJ23" s="45">
        <f t="shared" si="68"/>
        <v>259.89999999999992</v>
      </c>
      <c r="AK23" s="45">
        <f t="shared" si="68"/>
        <v>280.59999999999991</v>
      </c>
      <c r="AL23" s="45">
        <f t="shared" si="68"/>
        <v>329</v>
      </c>
      <c r="AM23" s="45">
        <f t="shared" si="68"/>
        <v>276.69999999999993</v>
      </c>
      <c r="AN23" s="45">
        <f t="shared" si="68"/>
        <v>277.39999999999998</v>
      </c>
      <c r="AO23" s="45">
        <f t="shared" si="68"/>
        <v>313.29999999999995</v>
      </c>
      <c r="AP23" s="45">
        <f t="shared" si="68"/>
        <v>332</v>
      </c>
      <c r="AQ23" s="45">
        <f t="shared" si="68"/>
        <v>252.20000000000005</v>
      </c>
      <c r="AR23" s="45">
        <f t="shared" si="68"/>
        <v>359.00000000000011</v>
      </c>
      <c r="AS23" s="45">
        <f t="shared" si="68"/>
        <v>365.70000000000005</v>
      </c>
      <c r="AT23" s="45">
        <f t="shared" si="68"/>
        <v>397.6</v>
      </c>
      <c r="AU23" s="45">
        <f t="shared" ref="AU23:BP23" si="69">AU20-SUM(AU21:AU22)</f>
        <v>283</v>
      </c>
      <c r="AV23" s="45">
        <f t="shared" si="69"/>
        <v>80.599999999999909</v>
      </c>
      <c r="AW23" s="45">
        <f t="shared" si="69"/>
        <v>270.40000000000009</v>
      </c>
      <c r="AX23" s="45">
        <f t="shared" si="69"/>
        <v>415.79999999999995</v>
      </c>
      <c r="AY23" s="45">
        <f t="shared" si="69"/>
        <v>416.7999999999999</v>
      </c>
      <c r="AZ23" s="45">
        <f t="shared" si="69"/>
        <v>511.20000000000005</v>
      </c>
      <c r="BA23" s="45">
        <f t="shared" si="69"/>
        <v>442.6</v>
      </c>
      <c r="BB23" s="45">
        <f t="shared" si="69"/>
        <v>450.4000000000002</v>
      </c>
      <c r="BC23" s="45">
        <f t="shared" si="69"/>
        <v>408.1</v>
      </c>
      <c r="BD23" s="45">
        <f t="shared" si="69"/>
        <v>397.60000000000014</v>
      </c>
      <c r="BE23" s="45">
        <f t="shared" si="69"/>
        <v>398.90000000000009</v>
      </c>
      <c r="BF23" s="45">
        <f t="shared" si="69"/>
        <v>372.50000000000011</v>
      </c>
      <c r="BG23" s="45">
        <f t="shared" si="69"/>
        <v>387.6</v>
      </c>
      <c r="BH23" s="45">
        <f t="shared" si="69"/>
        <v>463.20000000000005</v>
      </c>
      <c r="BI23" s="45">
        <f t="shared" si="69"/>
        <v>465.8000000000003</v>
      </c>
      <c r="BJ23" s="45">
        <f t="shared" si="69"/>
        <v>450.20000000000027</v>
      </c>
      <c r="BK23" s="45">
        <f t="shared" si="69"/>
        <v>469.40000000000009</v>
      </c>
      <c r="BL23" s="45">
        <f t="shared" si="69"/>
        <v>567.30000000000007</v>
      </c>
      <c r="BM23" s="45">
        <f t="shared" si="69"/>
        <v>577.29999999999984</v>
      </c>
      <c r="BN23" s="45">
        <f t="shared" si="69"/>
        <v>734.9000000000002</v>
      </c>
      <c r="BO23" s="45">
        <f t="shared" si="69"/>
        <v>578.10000000000014</v>
      </c>
      <c r="BP23" s="45">
        <f t="shared" si="69"/>
        <v>743.40000000000009</v>
      </c>
      <c r="BQ23" s="45">
        <f t="shared" ref="BQ23:BR23" si="70">BQ20-SUM(BQ21:BQ22)</f>
        <v>759.0999999999998</v>
      </c>
      <c r="BR23" s="45">
        <f t="shared" si="70"/>
        <v>866.19999999999982</v>
      </c>
      <c r="BS23" s="45">
        <f t="shared" ref="BS23:BT23" si="71">BS20-SUM(BS21:BS22)</f>
        <v>855.3000000000003</v>
      </c>
      <c r="BT23" s="45">
        <f t="shared" si="71"/>
        <v>971.90000000000009</v>
      </c>
      <c r="BU23" s="45">
        <f t="shared" ref="BU23" si="72">BU20-SUM(BU21:BU22)</f>
        <v>592.59999999999968</v>
      </c>
      <c r="CA23" s="45">
        <f t="shared" si="44"/>
        <v>377.40000000000009</v>
      </c>
      <c r="CB23" s="45">
        <f t="shared" si="45"/>
        <v>555.19999999999993</v>
      </c>
      <c r="CC23" s="45">
        <f t="shared" si="46"/>
        <v>694.80000000000007</v>
      </c>
      <c r="CD23" s="45">
        <f t="shared" si="47"/>
        <v>878.09999999999991</v>
      </c>
      <c r="CE23" s="45">
        <f t="shared" si="48"/>
        <v>852.5</v>
      </c>
      <c r="CF23" s="45">
        <f t="shared" si="49"/>
        <v>544.80000000000007</v>
      </c>
      <c r="CG23" s="45">
        <f t="shared" si="50"/>
        <v>740</v>
      </c>
      <c r="CH23" s="45">
        <f t="shared" si="51"/>
        <v>949.69999999999993</v>
      </c>
      <c r="CI23" s="45">
        <f t="shared" si="52"/>
        <v>1062.8999999999999</v>
      </c>
      <c r="CJ23" s="45">
        <f t="shared" si="53"/>
        <v>1199.3999999999999</v>
      </c>
      <c r="CK23" s="45">
        <f t="shared" si="54"/>
        <v>1374.5000000000002</v>
      </c>
      <c r="CL23" s="45">
        <f t="shared" si="36"/>
        <v>1049.8</v>
      </c>
      <c r="CM23" s="45">
        <f t="shared" si="37"/>
        <v>1821</v>
      </c>
      <c r="CN23" s="45">
        <f t="shared" si="38"/>
        <v>1577.1000000000004</v>
      </c>
      <c r="CO23" s="45">
        <f t="shared" si="39"/>
        <v>1766.8000000000006</v>
      </c>
      <c r="CP23" s="45">
        <f t="shared" si="40"/>
        <v>2348.9</v>
      </c>
      <c r="CQ23" s="45">
        <f t="shared" si="41"/>
        <v>2946.7999999999997</v>
      </c>
      <c r="CR23" s="70">
        <f t="shared" ref="CR23" si="73">CR20-SUM(CR21:CR22)</f>
        <v>3849.9116130000011</v>
      </c>
      <c r="CS23" s="70">
        <f t="shared" ref="CS23:DA23" si="74">CS20-SUM(CS21:CS22)</f>
        <v>4344.3933088000003</v>
      </c>
      <c r="CT23" s="70">
        <f t="shared" si="74"/>
        <v>4985.1021004200011</v>
      </c>
      <c r="CU23" s="70">
        <f t="shared" si="74"/>
        <v>5681.6689411784973</v>
      </c>
      <c r="CV23" s="70">
        <f t="shared" si="74"/>
        <v>6430.0600348136832</v>
      </c>
      <c r="CW23" s="70">
        <f t="shared" si="74"/>
        <v>7247.7450688141234</v>
      </c>
      <c r="CX23" s="70">
        <f t="shared" si="74"/>
        <v>8032.4627239740976</v>
      </c>
      <c r="CY23" s="70">
        <f t="shared" si="74"/>
        <v>8747.5558946744204</v>
      </c>
      <c r="CZ23" s="70">
        <f t="shared" si="74"/>
        <v>9359.8463503155945</v>
      </c>
      <c r="DA23" s="70">
        <f t="shared" si="74"/>
        <v>9948.1071647317331</v>
      </c>
    </row>
    <row r="24" spans="2:157">
      <c r="B24" s="1" t="s">
        <v>1458</v>
      </c>
      <c r="C24" s="45">
        <v>5</v>
      </c>
      <c r="D24" s="45">
        <v>5.2</v>
      </c>
      <c r="E24" s="45">
        <v>4.3</v>
      </c>
      <c r="F24" s="45">
        <v>4.2</v>
      </c>
      <c r="G24" s="45">
        <v>4.0999999999999996</v>
      </c>
      <c r="H24" s="45">
        <v>4.5</v>
      </c>
      <c r="I24" s="45">
        <v>5</v>
      </c>
      <c r="J24" s="45">
        <v>3.5</v>
      </c>
      <c r="K24" s="45">
        <v>5.3</v>
      </c>
      <c r="L24" s="45">
        <v>4.0999999999999996</v>
      </c>
      <c r="M24" s="45">
        <v>1.9</v>
      </c>
      <c r="N24" s="45">
        <v>3.6</v>
      </c>
      <c r="O24" s="45">
        <v>3.8</v>
      </c>
      <c r="P24" s="45">
        <v>4</v>
      </c>
      <c r="Q24" s="45">
        <v>4.3</v>
      </c>
      <c r="R24" s="45">
        <v>3.7</v>
      </c>
      <c r="S24" s="45">
        <v>4.3</v>
      </c>
      <c r="T24" s="45">
        <v>4.3</v>
      </c>
      <c r="U24" s="45">
        <v>3.9</v>
      </c>
      <c r="V24" s="45">
        <v>5.9</v>
      </c>
      <c r="W24" s="45">
        <v>3.9</v>
      </c>
      <c r="X24" s="45">
        <v>-0.4</v>
      </c>
      <c r="Y24" s="45">
        <v>2</v>
      </c>
      <c r="Z24" s="45">
        <v>-1.3</v>
      </c>
      <c r="AA24" s="45">
        <v>4.3</v>
      </c>
      <c r="AB24" s="45">
        <v>4.5999999999999996</v>
      </c>
      <c r="AC24" s="45">
        <v>3.7</v>
      </c>
      <c r="AD24" s="45">
        <v>5.9</v>
      </c>
      <c r="AE24" s="45">
        <v>5.5</v>
      </c>
      <c r="AF24" s="45">
        <v>8</v>
      </c>
      <c r="AG24" s="45">
        <v>10.4</v>
      </c>
      <c r="AH24" s="45">
        <v>11.7</v>
      </c>
      <c r="AI24" s="45">
        <v>8.6999999999999993</v>
      </c>
      <c r="AJ24" s="45">
        <v>10.1</v>
      </c>
      <c r="AK24" s="45">
        <v>10.8</v>
      </c>
      <c r="AL24" s="45">
        <v>12.3</v>
      </c>
      <c r="AM24" s="45">
        <v>13.2</v>
      </c>
      <c r="AN24" s="45">
        <v>18.2</v>
      </c>
      <c r="AO24" s="45">
        <v>21.9</v>
      </c>
      <c r="AP24" s="45">
        <v>26.8</v>
      </c>
      <c r="AQ24" s="45">
        <v>27.5</v>
      </c>
      <c r="AR24" s="45">
        <v>32.799999999999997</v>
      </c>
      <c r="AS24" s="45">
        <v>33.299999999999997</v>
      </c>
      <c r="AT24" s="45">
        <v>34.1</v>
      </c>
      <c r="AU24" s="45">
        <v>25</v>
      </c>
      <c r="AV24" s="45">
        <v>26.6</v>
      </c>
      <c r="AW24" s="45">
        <v>84.8</v>
      </c>
      <c r="AX24" s="45">
        <f>157.2-SUM(AU24:AW24)</f>
        <v>20.799999999999983</v>
      </c>
      <c r="AY24" s="45">
        <v>32</v>
      </c>
      <c r="AZ24" s="45">
        <v>15</v>
      </c>
      <c r="BA24" s="45">
        <v>18.5</v>
      </c>
      <c r="BB24" s="45">
        <f>69.3-SUM(AY24:BA24)</f>
        <v>3.7999999999999972</v>
      </c>
      <c r="BC24" s="45">
        <v>-5.7</v>
      </c>
      <c r="BD24" s="45">
        <v>9.3000000000000007</v>
      </c>
      <c r="BE24" s="45">
        <v>3.9</v>
      </c>
      <c r="BF24" s="45">
        <f>29.7-SUM(BC24:BE24)</f>
        <v>22.2</v>
      </c>
      <c r="BG24" s="45">
        <v>34.200000000000003</v>
      </c>
      <c r="BH24" s="45">
        <v>36</v>
      </c>
      <c r="BI24" s="45">
        <v>56.2</v>
      </c>
      <c r="BJ24" s="45">
        <f>192.1-SUM(BG24:BI24)</f>
        <v>65.699999999999989</v>
      </c>
      <c r="BK24" s="45">
        <v>69.099999999999994</v>
      </c>
      <c r="BL24" s="45">
        <v>87.2</v>
      </c>
      <c r="BM24" s="45">
        <v>93.7</v>
      </c>
      <c r="BN24" s="45">
        <f>324.9-SUM(BK24:BM24)</f>
        <v>74.899999999999977</v>
      </c>
      <c r="BO24" s="45">
        <v>90.4</v>
      </c>
      <c r="BP24" s="45">
        <v>88.7</v>
      </c>
      <c r="BQ24" s="45">
        <v>95.5</v>
      </c>
      <c r="BR24" s="45">
        <v>91</v>
      </c>
      <c r="BS24" s="45">
        <v>85.1</v>
      </c>
      <c r="BT24" s="45">
        <v>82.7</v>
      </c>
      <c r="BU24" s="45">
        <v>75.8</v>
      </c>
      <c r="CA24" s="45">
        <f t="shared" si="44"/>
        <v>18.7</v>
      </c>
      <c r="CB24" s="45">
        <f t="shared" si="45"/>
        <v>17.100000000000001</v>
      </c>
      <c r="CC24" s="45">
        <f t="shared" si="46"/>
        <v>14.899999999999999</v>
      </c>
      <c r="CD24" s="45">
        <f t="shared" si="47"/>
        <v>15.8</v>
      </c>
      <c r="CE24" s="45">
        <f t="shared" si="48"/>
        <v>18.399999999999999</v>
      </c>
      <c r="CF24" s="45">
        <f t="shared" si="49"/>
        <v>4.2</v>
      </c>
      <c r="CG24" s="45">
        <f t="shared" si="50"/>
        <v>18.5</v>
      </c>
      <c r="CH24" s="45">
        <f t="shared" si="51"/>
        <v>35.599999999999994</v>
      </c>
      <c r="CI24" s="45">
        <f t="shared" si="52"/>
        <v>41.9</v>
      </c>
      <c r="CJ24" s="45">
        <f t="shared" si="53"/>
        <v>80.099999999999994</v>
      </c>
      <c r="CK24" s="45">
        <f t="shared" si="54"/>
        <v>127.69999999999999</v>
      </c>
      <c r="CL24" s="45">
        <f t="shared" si="36"/>
        <v>157.19999999999999</v>
      </c>
      <c r="CM24" s="45">
        <f t="shared" si="37"/>
        <v>69.3</v>
      </c>
      <c r="CN24" s="45">
        <f t="shared" si="38"/>
        <v>29.7</v>
      </c>
      <c r="CO24" s="45">
        <f t="shared" si="39"/>
        <v>192.1</v>
      </c>
      <c r="CP24" s="45">
        <f t="shared" si="40"/>
        <v>324.89999999999998</v>
      </c>
      <c r="CQ24" s="45">
        <f t="shared" si="41"/>
        <v>365.6</v>
      </c>
      <c r="CR24" s="70">
        <f t="shared" ref="CR24:DA24" si="75">CQ40*$DA$43</f>
        <v>907.67600000000004</v>
      </c>
      <c r="CS24" s="70">
        <f t="shared" si="75"/>
        <v>1991.1095331394579</v>
      </c>
      <c r="CT24" s="70">
        <f t="shared" si="75"/>
        <v>3425.3406664977128</v>
      </c>
      <c r="CU24" s="70">
        <f t="shared" si="75"/>
        <v>5306.6305568157013</v>
      </c>
      <c r="CV24" s="70">
        <f t="shared" si="75"/>
        <v>7749.7415964509864</v>
      </c>
      <c r="CW24" s="70">
        <f t="shared" si="75"/>
        <v>10883.335958944166</v>
      </c>
      <c r="CX24" s="70">
        <f t="shared" si="75"/>
        <v>14890.123555268472</v>
      </c>
      <c r="CY24" s="70">
        <f t="shared" si="75"/>
        <v>19955.785897118287</v>
      </c>
      <c r="CZ24" s="70">
        <f t="shared" si="75"/>
        <v>26298.937399686558</v>
      </c>
      <c r="DA24" s="70">
        <f t="shared" si="75"/>
        <v>34179.172020599537</v>
      </c>
    </row>
    <row r="25" spans="2:157">
      <c r="B25" s="1" t="s">
        <v>1459</v>
      </c>
      <c r="C25" s="45">
        <f t="shared" ref="C25:AT25" si="76">C23+C24</f>
        <v>49.999999999999986</v>
      </c>
      <c r="D25" s="45">
        <f t="shared" si="76"/>
        <v>104.70000000000003</v>
      </c>
      <c r="E25" s="45">
        <f t="shared" si="76"/>
        <v>108.80000000000003</v>
      </c>
      <c r="F25" s="45">
        <f t="shared" si="76"/>
        <v>132.60000000000002</v>
      </c>
      <c r="G25" s="45">
        <f t="shared" si="76"/>
        <v>133.80000000000004</v>
      </c>
      <c r="H25" s="45">
        <f t="shared" si="76"/>
        <v>144.19999999999996</v>
      </c>
      <c r="I25" s="45">
        <f t="shared" si="76"/>
        <v>137.09999999999997</v>
      </c>
      <c r="J25" s="45">
        <f t="shared" si="76"/>
        <v>157.20000000000002</v>
      </c>
      <c r="K25" s="45">
        <f t="shared" si="76"/>
        <v>153.60000000000002</v>
      </c>
      <c r="L25" s="45">
        <f t="shared" si="76"/>
        <v>172.20000000000002</v>
      </c>
      <c r="M25" s="45">
        <f t="shared" si="76"/>
        <v>180.8</v>
      </c>
      <c r="N25" s="45">
        <f t="shared" si="76"/>
        <v>203.09999999999997</v>
      </c>
      <c r="O25" s="45">
        <f t="shared" si="76"/>
        <v>197.1</v>
      </c>
      <c r="P25" s="45">
        <f t="shared" si="76"/>
        <v>229.29999999999995</v>
      </c>
      <c r="Q25" s="45">
        <f t="shared" si="76"/>
        <v>215.7</v>
      </c>
      <c r="R25" s="45">
        <f t="shared" si="76"/>
        <v>251.79999999999995</v>
      </c>
      <c r="S25" s="45">
        <f t="shared" si="76"/>
        <v>255.49999999999997</v>
      </c>
      <c r="T25" s="45">
        <f t="shared" si="76"/>
        <v>222.8</v>
      </c>
      <c r="U25" s="45">
        <f t="shared" si="76"/>
        <v>178.1</v>
      </c>
      <c r="V25" s="45">
        <f t="shared" si="76"/>
        <v>214.50000000000009</v>
      </c>
      <c r="W25" s="45">
        <f t="shared" si="76"/>
        <v>60.499999999999964</v>
      </c>
      <c r="X25" s="45">
        <f t="shared" si="76"/>
        <v>142.60000000000005</v>
      </c>
      <c r="Y25" s="45">
        <f t="shared" si="76"/>
        <v>161.10000000000002</v>
      </c>
      <c r="Z25" s="45">
        <f t="shared" si="76"/>
        <v>184.8</v>
      </c>
      <c r="AA25" s="45">
        <f t="shared" si="76"/>
        <v>134.70000000000002</v>
      </c>
      <c r="AB25" s="45">
        <f t="shared" si="76"/>
        <v>178.39999999999998</v>
      </c>
      <c r="AC25" s="45">
        <f t="shared" si="76"/>
        <v>193.60000000000005</v>
      </c>
      <c r="AD25" s="45">
        <f t="shared" si="76"/>
        <v>251.8</v>
      </c>
      <c r="AE25" s="45">
        <f t="shared" si="76"/>
        <v>184.5</v>
      </c>
      <c r="AF25" s="45">
        <f t="shared" si="76"/>
        <v>253.40000000000003</v>
      </c>
      <c r="AG25" s="45">
        <f t="shared" si="76"/>
        <v>266.79999999999995</v>
      </c>
      <c r="AH25" s="45">
        <f t="shared" si="76"/>
        <v>280.59999999999997</v>
      </c>
      <c r="AI25" s="45">
        <f t="shared" si="76"/>
        <v>202.10000000000002</v>
      </c>
      <c r="AJ25" s="45">
        <f t="shared" si="76"/>
        <v>269.99999999999994</v>
      </c>
      <c r="AK25" s="45">
        <f t="shared" si="76"/>
        <v>291.39999999999992</v>
      </c>
      <c r="AL25" s="45">
        <f t="shared" si="76"/>
        <v>341.3</v>
      </c>
      <c r="AM25" s="45">
        <f t="shared" si="76"/>
        <v>289.89999999999992</v>
      </c>
      <c r="AN25" s="45">
        <f t="shared" si="76"/>
        <v>295.59999999999997</v>
      </c>
      <c r="AO25" s="45">
        <f t="shared" si="76"/>
        <v>335.19999999999993</v>
      </c>
      <c r="AP25" s="45">
        <f t="shared" si="76"/>
        <v>358.8</v>
      </c>
      <c r="AQ25" s="45">
        <f t="shared" si="76"/>
        <v>279.70000000000005</v>
      </c>
      <c r="AR25" s="45">
        <f t="shared" si="76"/>
        <v>391.80000000000013</v>
      </c>
      <c r="AS25" s="45">
        <f t="shared" si="76"/>
        <v>399.00000000000006</v>
      </c>
      <c r="AT25" s="45">
        <f t="shared" si="76"/>
        <v>431.70000000000005</v>
      </c>
      <c r="AU25" s="45">
        <f t="shared" ref="AU25:BP25" si="77">AU23+AU24</f>
        <v>308</v>
      </c>
      <c r="AV25" s="45">
        <f t="shared" si="77"/>
        <v>107.1999999999999</v>
      </c>
      <c r="AW25" s="45">
        <f t="shared" si="77"/>
        <v>355.2000000000001</v>
      </c>
      <c r="AX25" s="45">
        <f t="shared" si="77"/>
        <v>436.59999999999991</v>
      </c>
      <c r="AY25" s="45">
        <f t="shared" si="77"/>
        <v>448.7999999999999</v>
      </c>
      <c r="AZ25" s="45">
        <f t="shared" si="77"/>
        <v>526.20000000000005</v>
      </c>
      <c r="BA25" s="45">
        <f t="shared" si="77"/>
        <v>461.1</v>
      </c>
      <c r="BB25" s="45">
        <f t="shared" si="77"/>
        <v>454.20000000000022</v>
      </c>
      <c r="BC25" s="45">
        <f t="shared" si="77"/>
        <v>402.40000000000003</v>
      </c>
      <c r="BD25" s="45">
        <f t="shared" si="77"/>
        <v>406.90000000000015</v>
      </c>
      <c r="BE25" s="45">
        <f t="shared" si="77"/>
        <v>402.80000000000007</v>
      </c>
      <c r="BF25" s="45">
        <f t="shared" si="77"/>
        <v>394.7000000000001</v>
      </c>
      <c r="BG25" s="45">
        <f t="shared" si="77"/>
        <v>421.8</v>
      </c>
      <c r="BH25" s="45">
        <f t="shared" si="77"/>
        <v>499.20000000000005</v>
      </c>
      <c r="BI25" s="45">
        <f t="shared" si="77"/>
        <v>522.00000000000034</v>
      </c>
      <c r="BJ25" s="45">
        <f t="shared" si="77"/>
        <v>515.90000000000032</v>
      </c>
      <c r="BK25" s="45">
        <f t="shared" si="77"/>
        <v>538.50000000000011</v>
      </c>
      <c r="BL25" s="45">
        <f t="shared" si="77"/>
        <v>654.50000000000011</v>
      </c>
      <c r="BM25" s="45">
        <f t="shared" si="77"/>
        <v>670.99999999999989</v>
      </c>
      <c r="BN25" s="45">
        <f t="shared" si="77"/>
        <v>809.80000000000018</v>
      </c>
      <c r="BO25" s="45">
        <f t="shared" si="77"/>
        <v>668.50000000000011</v>
      </c>
      <c r="BP25" s="45">
        <f t="shared" si="77"/>
        <v>832.10000000000014</v>
      </c>
      <c r="BQ25" s="45">
        <f t="shared" ref="BQ25:BR25" si="78">BQ23+BQ24</f>
        <v>854.5999999999998</v>
      </c>
      <c r="BR25" s="45">
        <f t="shared" si="78"/>
        <v>957.19999999999982</v>
      </c>
      <c r="BS25" s="45">
        <f t="shared" ref="BS25:BT25" si="79">BS23+BS24</f>
        <v>940.40000000000032</v>
      </c>
      <c r="BT25" s="45">
        <f t="shared" si="79"/>
        <v>1054.6000000000001</v>
      </c>
      <c r="BU25" s="45">
        <f t="shared" ref="BU25" si="80">BU23+BU24</f>
        <v>668.39999999999964</v>
      </c>
      <c r="CA25" s="45">
        <f t="shared" si="44"/>
        <v>396.10000000000008</v>
      </c>
      <c r="CB25" s="45">
        <f t="shared" si="45"/>
        <v>572.29999999999995</v>
      </c>
      <c r="CC25" s="45">
        <f t="shared" si="46"/>
        <v>709.7</v>
      </c>
      <c r="CD25" s="45">
        <f t="shared" si="47"/>
        <v>893.89999999999986</v>
      </c>
      <c r="CE25" s="45">
        <f t="shared" si="48"/>
        <v>870.90000000000009</v>
      </c>
      <c r="CF25" s="45">
        <f t="shared" si="49"/>
        <v>549</v>
      </c>
      <c r="CG25" s="45">
        <f t="shared" si="50"/>
        <v>758.5</v>
      </c>
      <c r="CH25" s="45">
        <f t="shared" si="51"/>
        <v>985.3</v>
      </c>
      <c r="CI25" s="45">
        <f t="shared" si="52"/>
        <v>1104.8</v>
      </c>
      <c r="CJ25" s="45">
        <f t="shared" si="53"/>
        <v>1279.4999999999998</v>
      </c>
      <c r="CK25" s="45">
        <f t="shared" si="54"/>
        <v>1502.2000000000003</v>
      </c>
      <c r="CL25" s="45">
        <f t="shared" si="36"/>
        <v>1207</v>
      </c>
      <c r="CM25" s="45">
        <f t="shared" si="37"/>
        <v>1890.3000000000002</v>
      </c>
      <c r="CN25" s="45">
        <f t="shared" si="38"/>
        <v>1606.8000000000004</v>
      </c>
      <c r="CO25" s="45">
        <f t="shared" si="39"/>
        <v>1958.9000000000008</v>
      </c>
      <c r="CP25" s="45">
        <f t="shared" si="40"/>
        <v>2673.8</v>
      </c>
      <c r="CQ25" s="45">
        <f t="shared" si="41"/>
        <v>3312.4</v>
      </c>
      <c r="CR25" s="70">
        <f t="shared" ref="CR25" si="81">CR23+CR24</f>
        <v>4757.5876130000015</v>
      </c>
      <c r="CS25" s="70">
        <f t="shared" ref="CS25:DA25" si="82">CS23+CS24</f>
        <v>6335.5028419394584</v>
      </c>
      <c r="CT25" s="70">
        <f t="shared" si="82"/>
        <v>8410.442766917713</v>
      </c>
      <c r="CU25" s="70">
        <f t="shared" si="82"/>
        <v>10988.299497994198</v>
      </c>
      <c r="CV25" s="70">
        <f t="shared" si="82"/>
        <v>14179.801631264669</v>
      </c>
      <c r="CW25" s="70">
        <f t="shared" si="82"/>
        <v>18131.08102775829</v>
      </c>
      <c r="CX25" s="70">
        <f t="shared" si="82"/>
        <v>22922.586279242569</v>
      </c>
      <c r="CY25" s="70">
        <f t="shared" si="82"/>
        <v>28703.341791792707</v>
      </c>
      <c r="CZ25" s="70">
        <f t="shared" si="82"/>
        <v>35658.783750002156</v>
      </c>
      <c r="DA25" s="70">
        <f t="shared" si="82"/>
        <v>44127.279185331266</v>
      </c>
    </row>
    <row r="26" spans="2:157">
      <c r="B26" s="1" t="s">
        <v>1460</v>
      </c>
      <c r="C26" s="45">
        <v>21.9</v>
      </c>
      <c r="D26" s="45">
        <v>42.3</v>
      </c>
      <c r="E26" s="45">
        <v>44.3</v>
      </c>
      <c r="F26" s="45">
        <v>55</v>
      </c>
      <c r="G26" s="45">
        <v>48.5</v>
      </c>
      <c r="H26" s="45">
        <v>55.5</v>
      </c>
      <c r="I26" s="45">
        <v>50.5</v>
      </c>
      <c r="J26" s="45">
        <v>36</v>
      </c>
      <c r="K26" s="45">
        <v>49.5</v>
      </c>
      <c r="L26" s="45">
        <v>54.8</v>
      </c>
      <c r="M26" s="45">
        <v>58.4</v>
      </c>
      <c r="N26" s="45">
        <v>51.9</v>
      </c>
      <c r="O26" s="45">
        <v>53.6</v>
      </c>
      <c r="P26" s="45">
        <v>74.400000000000006</v>
      </c>
      <c r="Q26" s="45">
        <v>32.4</v>
      </c>
      <c r="R26" s="45">
        <v>76.900000000000006</v>
      </c>
      <c r="S26" s="45">
        <v>66.599999999999994</v>
      </c>
      <c r="T26" s="45">
        <v>63.7</v>
      </c>
      <c r="U26" s="45">
        <v>21.3</v>
      </c>
      <c r="V26" s="45">
        <v>48.3</v>
      </c>
      <c r="W26" s="45">
        <v>16.2</v>
      </c>
      <c r="X26" s="45">
        <v>38.6</v>
      </c>
      <c r="Y26" s="45">
        <v>37.4</v>
      </c>
      <c r="Z26" s="45">
        <v>38</v>
      </c>
      <c r="AA26" s="45">
        <v>37.700000000000003</v>
      </c>
      <c r="AB26" s="45">
        <v>43.9</v>
      </c>
      <c r="AC26" s="45">
        <v>26.3</v>
      </c>
      <c r="AD26" s="45">
        <v>61.8</v>
      </c>
      <c r="AE26" s="45">
        <v>48.1</v>
      </c>
      <c r="AF26" s="45">
        <v>68.900000000000006</v>
      </c>
      <c r="AG26" s="45">
        <v>55.8</v>
      </c>
      <c r="AH26" s="45">
        <v>74.2</v>
      </c>
      <c r="AI26" s="45">
        <v>21.3</v>
      </c>
      <c r="AJ26" s="45">
        <v>47</v>
      </c>
      <c r="AK26" s="45">
        <v>-7.2</v>
      </c>
      <c r="AL26" s="45">
        <v>372.8</v>
      </c>
      <c r="AM26" s="45">
        <v>2.6</v>
      </c>
      <c r="AN26" s="45">
        <v>41</v>
      </c>
      <c r="AO26" s="45">
        <v>43.4</v>
      </c>
      <c r="AP26" s="45">
        <v>67.5</v>
      </c>
      <c r="AQ26" s="45">
        <v>-24.3</v>
      </c>
      <c r="AR26" s="45">
        <v>75.400000000000006</v>
      </c>
      <c r="AS26" s="45">
        <v>0.3</v>
      </c>
      <c r="AT26" s="45">
        <v>69</v>
      </c>
      <c r="AU26" s="45">
        <v>-8</v>
      </c>
      <c r="AV26" s="45">
        <v>37</v>
      </c>
      <c r="AW26" s="45">
        <v>38.4</v>
      </c>
      <c r="AX26" s="45">
        <f>140.2-SUM(AU26:AW26)</f>
        <v>72.799999999999983</v>
      </c>
      <c r="AY26" s="45">
        <v>13.6</v>
      </c>
      <c r="AZ26" s="45">
        <v>3.2</v>
      </c>
      <c r="BA26" s="45">
        <v>73.900000000000006</v>
      </c>
      <c r="BB26" s="45">
        <f>162.2-SUM(AY26:BA26)</f>
        <v>71.499999999999986</v>
      </c>
      <c r="BC26" s="45">
        <v>33</v>
      </c>
      <c r="BD26" s="45">
        <v>93.3</v>
      </c>
      <c r="BE26" s="45">
        <v>78.099999999999994</v>
      </c>
      <c r="BF26" s="45">
        <f>262.4-SUM(BC26:BE26)</f>
        <v>58</v>
      </c>
      <c r="BG26" s="45">
        <v>61</v>
      </c>
      <c r="BH26" s="45">
        <v>73.2</v>
      </c>
      <c r="BI26" s="45">
        <v>102.2</v>
      </c>
      <c r="BJ26" s="45">
        <f>141.6-SUM(BG26:BI26)</f>
        <v>-94.799999999999983</v>
      </c>
      <c r="BK26" s="45">
        <v>-8.9</v>
      </c>
      <c r="BL26" s="45">
        <v>123</v>
      </c>
      <c r="BM26" s="45">
        <v>100.4</v>
      </c>
      <c r="BN26" s="45">
        <f>336.3-SUM(BK26:BM26)</f>
        <v>121.80000000000001</v>
      </c>
      <c r="BO26" s="45">
        <v>-35.200000000000003</v>
      </c>
      <c r="BP26" s="45">
        <v>167.9</v>
      </c>
      <c r="BQ26" s="45">
        <v>146</v>
      </c>
      <c r="BR26" s="45">
        <v>156</v>
      </c>
      <c r="BS26" s="45">
        <v>114.4</v>
      </c>
      <c r="BT26" s="45">
        <v>231.4</v>
      </c>
      <c r="BU26" s="45">
        <v>144</v>
      </c>
      <c r="CA26" s="45">
        <f t="shared" si="44"/>
        <v>163.5</v>
      </c>
      <c r="CB26" s="45">
        <f t="shared" si="45"/>
        <v>190.5</v>
      </c>
      <c r="CC26" s="45">
        <f t="shared" si="46"/>
        <v>214.6</v>
      </c>
      <c r="CD26" s="45">
        <f t="shared" si="47"/>
        <v>237.3</v>
      </c>
      <c r="CE26" s="45">
        <f t="shared" si="48"/>
        <v>199.90000000000003</v>
      </c>
      <c r="CF26" s="45">
        <f t="shared" si="49"/>
        <v>130.19999999999999</v>
      </c>
      <c r="CG26" s="45">
        <f t="shared" si="50"/>
        <v>169.7</v>
      </c>
      <c r="CH26" s="45">
        <f t="shared" si="51"/>
        <v>247</v>
      </c>
      <c r="CI26" s="45">
        <f t="shared" si="52"/>
        <v>433.9</v>
      </c>
      <c r="CJ26" s="45">
        <f t="shared" si="53"/>
        <v>154.5</v>
      </c>
      <c r="CK26" s="45">
        <f t="shared" si="54"/>
        <v>120.4</v>
      </c>
      <c r="CL26" s="45">
        <f t="shared" si="36"/>
        <v>140.19999999999999</v>
      </c>
      <c r="CM26" s="45">
        <f t="shared" si="37"/>
        <v>162.19999999999999</v>
      </c>
      <c r="CN26" s="45">
        <f t="shared" si="38"/>
        <v>262.39999999999998</v>
      </c>
      <c r="CO26" s="45">
        <f t="shared" si="39"/>
        <v>141.6</v>
      </c>
      <c r="CP26" s="45">
        <f t="shared" si="40"/>
        <v>336.3</v>
      </c>
      <c r="CQ26" s="45">
        <f t="shared" si="41"/>
        <v>434.7</v>
      </c>
      <c r="CR26" s="70">
        <f t="shared" ref="CR26" si="83">CR25*CR37</f>
        <v>737.42608001500025</v>
      </c>
      <c r="CS26" s="70">
        <f t="shared" ref="CS26:DA26" si="84">CS25*CS37</f>
        <v>1013.6804547103134</v>
      </c>
      <c r="CT26" s="70">
        <f t="shared" si="84"/>
        <v>1429.7752703760113</v>
      </c>
      <c r="CU26" s="70">
        <f t="shared" si="84"/>
        <v>1922.9524121489844</v>
      </c>
      <c r="CV26" s="70">
        <f t="shared" si="84"/>
        <v>2552.3642936276401</v>
      </c>
      <c r="CW26" s="70">
        <f t="shared" si="84"/>
        <v>3263.5945849964919</v>
      </c>
      <c r="CX26" s="70">
        <f t="shared" si="84"/>
        <v>4126.0655302636624</v>
      </c>
      <c r="CY26" s="70">
        <f t="shared" si="84"/>
        <v>5166.6015225226874</v>
      </c>
      <c r="CZ26" s="70">
        <f t="shared" si="84"/>
        <v>6418.5810750003875</v>
      </c>
      <c r="DA26" s="70">
        <f t="shared" si="84"/>
        <v>7942.9102533596279</v>
      </c>
    </row>
    <row r="27" spans="2:157" s="2" customFormat="1" ht="15">
      <c r="B27" s="2" t="s">
        <v>137</v>
      </c>
      <c r="C27" s="47">
        <f t="shared" ref="C27:AT27" si="85">C25-C26</f>
        <v>28.099999999999987</v>
      </c>
      <c r="D27" s="47">
        <f t="shared" si="85"/>
        <v>62.400000000000034</v>
      </c>
      <c r="E27" s="47">
        <f t="shared" si="85"/>
        <v>64.500000000000028</v>
      </c>
      <c r="F27" s="47">
        <f t="shared" si="85"/>
        <v>77.600000000000023</v>
      </c>
      <c r="G27" s="47">
        <f t="shared" si="85"/>
        <v>85.30000000000004</v>
      </c>
      <c r="H27" s="47">
        <f t="shared" si="85"/>
        <v>88.69999999999996</v>
      </c>
      <c r="I27" s="47">
        <f t="shared" si="85"/>
        <v>86.599999999999966</v>
      </c>
      <c r="J27" s="47">
        <f t="shared" si="85"/>
        <v>121.20000000000002</v>
      </c>
      <c r="K27" s="47">
        <f t="shared" si="85"/>
        <v>104.10000000000002</v>
      </c>
      <c r="L27" s="47">
        <f t="shared" si="85"/>
        <v>117.40000000000002</v>
      </c>
      <c r="M27" s="47">
        <f t="shared" si="85"/>
        <v>122.4</v>
      </c>
      <c r="N27" s="47">
        <f t="shared" si="85"/>
        <v>151.19999999999996</v>
      </c>
      <c r="O27" s="47">
        <f t="shared" si="85"/>
        <v>143.5</v>
      </c>
      <c r="P27" s="47">
        <f t="shared" si="85"/>
        <v>154.89999999999995</v>
      </c>
      <c r="Q27" s="47">
        <f t="shared" si="85"/>
        <v>183.29999999999998</v>
      </c>
      <c r="R27" s="47">
        <f t="shared" si="85"/>
        <v>174.89999999999995</v>
      </c>
      <c r="S27" s="47">
        <f t="shared" si="85"/>
        <v>188.89999999999998</v>
      </c>
      <c r="T27" s="47">
        <f t="shared" si="85"/>
        <v>159.10000000000002</v>
      </c>
      <c r="U27" s="47">
        <f t="shared" si="85"/>
        <v>156.79999999999998</v>
      </c>
      <c r="V27" s="47">
        <f t="shared" si="85"/>
        <v>166.2000000000001</v>
      </c>
      <c r="W27" s="47">
        <f t="shared" si="85"/>
        <v>44.299999999999969</v>
      </c>
      <c r="X27" s="47">
        <f t="shared" si="85"/>
        <v>104.00000000000006</v>
      </c>
      <c r="Y27" s="47">
        <f t="shared" si="85"/>
        <v>123.70000000000002</v>
      </c>
      <c r="Z27" s="47">
        <f t="shared" si="85"/>
        <v>146.80000000000001</v>
      </c>
      <c r="AA27" s="47">
        <f t="shared" si="85"/>
        <v>97.000000000000014</v>
      </c>
      <c r="AB27" s="47">
        <f t="shared" si="85"/>
        <v>134.49999999999997</v>
      </c>
      <c r="AC27" s="47">
        <f t="shared" si="85"/>
        <v>167.30000000000004</v>
      </c>
      <c r="AD27" s="47">
        <f t="shared" si="85"/>
        <v>190</v>
      </c>
      <c r="AE27" s="47">
        <f t="shared" si="85"/>
        <v>136.4</v>
      </c>
      <c r="AF27" s="47">
        <f t="shared" si="85"/>
        <v>184.50000000000003</v>
      </c>
      <c r="AG27" s="47">
        <f t="shared" si="85"/>
        <v>210.99999999999994</v>
      </c>
      <c r="AH27" s="47">
        <f t="shared" si="85"/>
        <v>206.39999999999998</v>
      </c>
      <c r="AI27" s="47">
        <f t="shared" si="85"/>
        <v>180.8</v>
      </c>
      <c r="AJ27" s="47">
        <f t="shared" si="85"/>
        <v>222.99999999999994</v>
      </c>
      <c r="AK27" s="47">
        <f t="shared" si="85"/>
        <v>298.59999999999991</v>
      </c>
      <c r="AL27" s="47">
        <f t="shared" si="85"/>
        <v>-31.5</v>
      </c>
      <c r="AM27" s="47">
        <f t="shared" si="85"/>
        <v>287.2999999999999</v>
      </c>
      <c r="AN27" s="47">
        <f t="shared" si="85"/>
        <v>254.59999999999997</v>
      </c>
      <c r="AO27" s="47">
        <f t="shared" si="85"/>
        <v>291.79999999999995</v>
      </c>
      <c r="AP27" s="47">
        <f t="shared" si="85"/>
        <v>291.3</v>
      </c>
      <c r="AQ27" s="47">
        <f t="shared" si="85"/>
        <v>304.00000000000006</v>
      </c>
      <c r="AR27" s="47">
        <f t="shared" si="85"/>
        <v>316.40000000000009</v>
      </c>
      <c r="AS27" s="47">
        <f t="shared" si="85"/>
        <v>398.70000000000005</v>
      </c>
      <c r="AT27" s="47">
        <f t="shared" si="85"/>
        <v>362.70000000000005</v>
      </c>
      <c r="AU27" s="47">
        <f t="shared" ref="AU27:BP27" si="86">AU25-AU26</f>
        <v>316</v>
      </c>
      <c r="AV27" s="47">
        <f t="shared" si="86"/>
        <v>70.199999999999903</v>
      </c>
      <c r="AW27" s="47">
        <f t="shared" si="86"/>
        <v>316.80000000000013</v>
      </c>
      <c r="AX27" s="47">
        <f t="shared" si="86"/>
        <v>363.79999999999995</v>
      </c>
      <c r="AY27" s="47">
        <f t="shared" si="86"/>
        <v>435.19999999999987</v>
      </c>
      <c r="AZ27" s="47">
        <f t="shared" si="86"/>
        <v>523</v>
      </c>
      <c r="BA27" s="47">
        <f t="shared" si="86"/>
        <v>387.20000000000005</v>
      </c>
      <c r="BB27" s="47">
        <f t="shared" si="86"/>
        <v>382.70000000000022</v>
      </c>
      <c r="BC27" s="47">
        <f t="shared" si="86"/>
        <v>369.40000000000003</v>
      </c>
      <c r="BD27" s="47">
        <f t="shared" si="86"/>
        <v>313.60000000000014</v>
      </c>
      <c r="BE27" s="47">
        <f t="shared" si="86"/>
        <v>324.70000000000005</v>
      </c>
      <c r="BF27" s="47">
        <f t="shared" si="86"/>
        <v>336.7000000000001</v>
      </c>
      <c r="BG27" s="47">
        <f t="shared" si="86"/>
        <v>360.8</v>
      </c>
      <c r="BH27" s="47">
        <f t="shared" si="86"/>
        <v>426.00000000000006</v>
      </c>
      <c r="BI27" s="47">
        <f t="shared" si="86"/>
        <v>419.80000000000035</v>
      </c>
      <c r="BJ27" s="47">
        <f t="shared" si="86"/>
        <v>610.70000000000027</v>
      </c>
      <c r="BK27" s="47">
        <f t="shared" si="86"/>
        <v>547.40000000000009</v>
      </c>
      <c r="BL27" s="47">
        <f t="shared" si="86"/>
        <v>531.50000000000011</v>
      </c>
      <c r="BM27" s="47">
        <f t="shared" si="86"/>
        <v>570.59999999999991</v>
      </c>
      <c r="BN27" s="47">
        <f t="shared" si="86"/>
        <v>688.00000000000023</v>
      </c>
      <c r="BO27" s="47">
        <f t="shared" si="86"/>
        <v>703.70000000000016</v>
      </c>
      <c r="BP27" s="47">
        <f t="shared" si="86"/>
        <v>664.20000000000016</v>
      </c>
      <c r="BQ27" s="47">
        <f t="shared" ref="BQ27:BR27" si="87">BQ25-BQ26</f>
        <v>708.5999999999998</v>
      </c>
      <c r="BR27" s="47">
        <f t="shared" si="87"/>
        <v>801.19999999999982</v>
      </c>
      <c r="BS27" s="47">
        <f t="shared" ref="BS27:BT27" si="88">BS25-BS26</f>
        <v>826.00000000000034</v>
      </c>
      <c r="BT27" s="47">
        <f t="shared" si="88"/>
        <v>823.20000000000016</v>
      </c>
      <c r="BU27" s="47">
        <f t="shared" ref="BU27" si="89">BU25-BU26</f>
        <v>524.39999999999964</v>
      </c>
      <c r="BV27" s="34"/>
      <c r="BW27" s="34"/>
      <c r="BX27" s="34"/>
      <c r="BY27" s="34"/>
      <c r="CA27" s="47">
        <f t="shared" si="44"/>
        <v>232.60000000000008</v>
      </c>
      <c r="CB27" s="47">
        <f t="shared" si="45"/>
        <v>381.79999999999995</v>
      </c>
      <c r="CC27" s="47">
        <f t="shared" si="46"/>
        <v>495.1</v>
      </c>
      <c r="CD27" s="47">
        <f t="shared" si="47"/>
        <v>656.59999999999991</v>
      </c>
      <c r="CE27" s="47">
        <f t="shared" si="48"/>
        <v>671</v>
      </c>
      <c r="CF27" s="47">
        <f t="shared" si="49"/>
        <v>418.8</v>
      </c>
      <c r="CG27" s="47">
        <f t="shared" si="50"/>
        <v>588.80000000000007</v>
      </c>
      <c r="CH27" s="47">
        <f t="shared" si="51"/>
        <v>738.3</v>
      </c>
      <c r="CI27" s="47">
        <f t="shared" si="52"/>
        <v>670.89999999999986</v>
      </c>
      <c r="CJ27" s="47">
        <f t="shared" si="53"/>
        <v>1124.9999999999998</v>
      </c>
      <c r="CK27" s="47">
        <f t="shared" si="54"/>
        <v>1381.8000000000002</v>
      </c>
      <c r="CL27" s="47">
        <f t="shared" si="36"/>
        <v>1066.8</v>
      </c>
      <c r="CM27" s="47">
        <f t="shared" si="37"/>
        <v>1728.1000000000001</v>
      </c>
      <c r="CN27" s="47">
        <f t="shared" si="38"/>
        <v>1344.4000000000003</v>
      </c>
      <c r="CO27" s="47">
        <f t="shared" si="39"/>
        <v>1817.3000000000006</v>
      </c>
      <c r="CP27" s="47">
        <f t="shared" si="40"/>
        <v>2337.5</v>
      </c>
      <c r="CQ27" s="47">
        <f t="shared" si="41"/>
        <v>2877.7</v>
      </c>
      <c r="CR27" s="71">
        <f t="shared" ref="CR27" si="90">CR25-CR26</f>
        <v>4020.161532985001</v>
      </c>
      <c r="CS27" s="71">
        <f t="shared" ref="CS27:DA27" si="91">CS25-CS26</f>
        <v>5321.8223872291455</v>
      </c>
      <c r="CT27" s="71">
        <f t="shared" si="91"/>
        <v>6980.6674965417014</v>
      </c>
      <c r="CU27" s="71">
        <f t="shared" si="91"/>
        <v>9065.3470858452129</v>
      </c>
      <c r="CV27" s="71">
        <f t="shared" si="91"/>
        <v>11627.437337637028</v>
      </c>
      <c r="CW27" s="71">
        <f t="shared" si="91"/>
        <v>14867.486442761798</v>
      </c>
      <c r="CX27" s="71">
        <f t="shared" si="91"/>
        <v>18796.520748978906</v>
      </c>
      <c r="CY27" s="71">
        <f t="shared" si="91"/>
        <v>23536.74026927002</v>
      </c>
      <c r="CZ27" s="71">
        <f t="shared" si="91"/>
        <v>29240.202675001769</v>
      </c>
      <c r="DA27" s="71">
        <f t="shared" si="91"/>
        <v>36184.368931971636</v>
      </c>
      <c r="DB27" s="71">
        <f t="shared" ref="DB27:EG27" si="92">DA27*(1+$DA$44)</f>
        <v>36817.595388281145</v>
      </c>
      <c r="DC27" s="71">
        <f t="shared" si="92"/>
        <v>37461.903307576067</v>
      </c>
      <c r="DD27" s="71">
        <f t="shared" si="92"/>
        <v>38117.486615458649</v>
      </c>
      <c r="DE27" s="71">
        <f t="shared" si="92"/>
        <v>38784.542631229175</v>
      </c>
      <c r="DF27" s="71">
        <f t="shared" si="92"/>
        <v>39463.27212727569</v>
      </c>
      <c r="DG27" s="71">
        <f t="shared" si="92"/>
        <v>40153.879389503018</v>
      </c>
      <c r="DH27" s="71">
        <f t="shared" si="92"/>
        <v>40856.572278819323</v>
      </c>
      <c r="DI27" s="71">
        <f t="shared" si="92"/>
        <v>41571.562293698662</v>
      </c>
      <c r="DJ27" s="71">
        <f t="shared" si="92"/>
        <v>42299.064633838389</v>
      </c>
      <c r="DK27" s="71">
        <f t="shared" si="92"/>
        <v>43039.298264930563</v>
      </c>
      <c r="DL27" s="71">
        <f t="shared" si="92"/>
        <v>43792.485984566854</v>
      </c>
      <c r="DM27" s="71">
        <f t="shared" si="92"/>
        <v>44558.854489296777</v>
      </c>
      <c r="DN27" s="71">
        <f t="shared" si="92"/>
        <v>45338.634442859475</v>
      </c>
      <c r="DO27" s="71">
        <f t="shared" si="92"/>
        <v>46132.060545609522</v>
      </c>
      <c r="DP27" s="71">
        <f t="shared" si="92"/>
        <v>46939.371605157692</v>
      </c>
      <c r="DQ27" s="71">
        <f t="shared" si="92"/>
        <v>47760.810608247957</v>
      </c>
      <c r="DR27" s="71">
        <f t="shared" si="92"/>
        <v>48596.624793892297</v>
      </c>
      <c r="DS27" s="71">
        <f t="shared" si="92"/>
        <v>49447.065727785419</v>
      </c>
      <c r="DT27" s="71">
        <f t="shared" si="92"/>
        <v>50312.389378021668</v>
      </c>
      <c r="DU27" s="71">
        <f t="shared" si="92"/>
        <v>51192.856192137049</v>
      </c>
      <c r="DV27" s="71">
        <f t="shared" si="92"/>
        <v>52088.731175499452</v>
      </c>
      <c r="DW27" s="71">
        <f t="shared" si="92"/>
        <v>53000.283971070698</v>
      </c>
      <c r="DX27" s="71">
        <f t="shared" si="92"/>
        <v>53927.788940564438</v>
      </c>
      <c r="DY27" s="71">
        <f t="shared" si="92"/>
        <v>54871.525247024321</v>
      </c>
      <c r="DZ27" s="71">
        <f t="shared" si="92"/>
        <v>55831.776938847252</v>
      </c>
      <c r="EA27" s="71">
        <f t="shared" si="92"/>
        <v>56808.833035277079</v>
      </c>
      <c r="EB27" s="71">
        <f t="shared" si="92"/>
        <v>57802.987613394434</v>
      </c>
      <c r="EC27" s="71">
        <f t="shared" si="92"/>
        <v>58814.539896628841</v>
      </c>
      <c r="ED27" s="71">
        <f t="shared" si="92"/>
        <v>59843.794344819849</v>
      </c>
      <c r="EE27" s="71">
        <f t="shared" si="92"/>
        <v>60891.0607458542</v>
      </c>
      <c r="EF27" s="71">
        <f t="shared" si="92"/>
        <v>61956.654308906654</v>
      </c>
      <c r="EG27" s="71">
        <f t="shared" si="92"/>
        <v>63040.895759312523</v>
      </c>
      <c r="EH27" s="71">
        <f t="shared" ref="EH27:EY27" si="93">EG27*(1+$DA$44)</f>
        <v>64144.111435100494</v>
      </c>
      <c r="EI27" s="71">
        <f t="shared" si="93"/>
        <v>65266.633385214758</v>
      </c>
      <c r="EJ27" s="71">
        <f t="shared" si="93"/>
        <v>66408.799469456018</v>
      </c>
      <c r="EK27" s="71">
        <f t="shared" si="93"/>
        <v>67570.953460171499</v>
      </c>
      <c r="EL27" s="71">
        <f t="shared" si="93"/>
        <v>68753.445145724501</v>
      </c>
      <c r="EM27" s="71">
        <f t="shared" si="93"/>
        <v>69956.630435774685</v>
      </c>
      <c r="EN27" s="71">
        <f t="shared" si="93"/>
        <v>71180.871468400743</v>
      </c>
      <c r="EO27" s="71">
        <f t="shared" si="93"/>
        <v>72426.536719097756</v>
      </c>
      <c r="EP27" s="71">
        <f t="shared" si="93"/>
        <v>73694.001111681966</v>
      </c>
      <c r="EQ27" s="71">
        <f t="shared" si="93"/>
        <v>74983.646131136411</v>
      </c>
      <c r="ER27" s="71">
        <f t="shared" si="93"/>
        <v>76295.859938431298</v>
      </c>
      <c r="ES27" s="71">
        <f t="shared" si="93"/>
        <v>77631.037487353853</v>
      </c>
      <c r="ET27" s="71">
        <f t="shared" si="93"/>
        <v>78989.580643382549</v>
      </c>
      <c r="EU27" s="71">
        <f t="shared" si="93"/>
        <v>80371.898304641756</v>
      </c>
      <c r="EV27" s="71">
        <f t="shared" si="93"/>
        <v>81778.40652497299</v>
      </c>
      <c r="EW27" s="71">
        <f t="shared" si="93"/>
        <v>83209.528639160024</v>
      </c>
      <c r="EX27" s="71">
        <f t="shared" si="93"/>
        <v>84665.695390345325</v>
      </c>
      <c r="EY27" s="71">
        <f t="shared" si="93"/>
        <v>86147.345059676372</v>
      </c>
      <c r="EZ27" s="34"/>
      <c r="FA27" s="34"/>
    </row>
    <row r="28" spans="2:157">
      <c r="B28" s="1" t="s">
        <v>1480</v>
      </c>
      <c r="AU28" s="45">
        <v>2.7</v>
      </c>
      <c r="AV28" s="45">
        <v>2</v>
      </c>
      <c r="AW28" s="45">
        <v>2.9</v>
      </c>
      <c r="AX28" s="45">
        <f>6.2-SUM(AU28:AW28)</f>
        <v>-1.3999999999999995</v>
      </c>
      <c r="AY28" s="45">
        <v>8.9</v>
      </c>
      <c r="AZ28" s="45">
        <v>5.8</v>
      </c>
      <c r="BA28" s="45">
        <v>6.7</v>
      </c>
      <c r="BB28" s="45">
        <f>23.5-SUM(AY28:BA28)</f>
        <v>2.1000000000000014</v>
      </c>
      <c r="BC28" s="45">
        <v>3.8</v>
      </c>
      <c r="BD28" s="45">
        <v>5.8</v>
      </c>
      <c r="BE28" s="45">
        <v>0.7</v>
      </c>
      <c r="BF28" s="45">
        <f>22.1-SUM(BC28:BE28)</f>
        <v>11.800000000000002</v>
      </c>
      <c r="BG28" s="45">
        <v>5.5</v>
      </c>
      <c r="BH28" s="45">
        <v>5.2</v>
      </c>
      <c r="BI28" s="45">
        <v>4.0999999999999996</v>
      </c>
      <c r="BJ28" s="45">
        <f>19.3-SUM(BG28:BI28)</f>
        <v>4.5000000000000018</v>
      </c>
      <c r="BK28" s="45">
        <v>2.5</v>
      </c>
      <c r="BL28" s="45">
        <v>4.5999999999999996</v>
      </c>
      <c r="BM28" s="45">
        <v>5.5</v>
      </c>
      <c r="BN28" s="45">
        <f>14.9-SUM(BK28:BM28)</f>
        <v>2.3000000000000007</v>
      </c>
      <c r="BO28" s="45">
        <v>5.3</v>
      </c>
      <c r="BP28" s="45">
        <v>5.8</v>
      </c>
      <c r="BQ28" s="45">
        <v>4.8</v>
      </c>
      <c r="BR28" s="45">
        <v>4.7</v>
      </c>
      <c r="BS28" s="45">
        <v>4.5</v>
      </c>
      <c r="BT28" s="45">
        <v>5.0999999999999996</v>
      </c>
      <c r="BU28" s="45">
        <v>1.6</v>
      </c>
      <c r="CA28" s="45">
        <f t="shared" si="44"/>
        <v>0</v>
      </c>
      <c r="CB28" s="45">
        <f t="shared" si="45"/>
        <v>0</v>
      </c>
      <c r="CC28" s="45">
        <f t="shared" si="46"/>
        <v>0</v>
      </c>
      <c r="CD28" s="45">
        <f t="shared" si="47"/>
        <v>0</v>
      </c>
      <c r="CE28" s="45">
        <f t="shared" si="48"/>
        <v>0</v>
      </c>
      <c r="CF28" s="45">
        <f t="shared" si="49"/>
        <v>0</v>
      </c>
      <c r="CG28" s="45">
        <f t="shared" si="50"/>
        <v>0</v>
      </c>
      <c r="CH28" s="45">
        <f t="shared" si="51"/>
        <v>0</v>
      </c>
      <c r="CI28" s="45">
        <f t="shared" si="52"/>
        <v>0</v>
      </c>
      <c r="CJ28" s="45">
        <f t="shared" si="53"/>
        <v>0</v>
      </c>
      <c r="CK28" s="45">
        <f t="shared" si="54"/>
        <v>0</v>
      </c>
      <c r="CL28" s="45">
        <f t="shared" si="36"/>
        <v>6.2</v>
      </c>
      <c r="CM28" s="45">
        <f t="shared" si="37"/>
        <v>23.5</v>
      </c>
      <c r="CN28" s="45">
        <f t="shared" si="38"/>
        <v>22.1</v>
      </c>
      <c r="CO28" s="45">
        <f t="shared" si="39"/>
        <v>19.3</v>
      </c>
      <c r="CP28" s="45">
        <f t="shared" si="40"/>
        <v>14.9</v>
      </c>
      <c r="CQ28" s="45">
        <f t="shared" si="41"/>
        <v>20.599999999999998</v>
      </c>
      <c r="CR28" s="70"/>
      <c r="CS28" s="70"/>
      <c r="CT28" s="70"/>
      <c r="CU28" s="70"/>
      <c r="CV28" s="70"/>
      <c r="CW28" s="70"/>
      <c r="CX28" s="70"/>
      <c r="CY28" s="70"/>
      <c r="CZ28" s="70"/>
      <c r="DA28" s="70"/>
    </row>
    <row r="29" spans="2:157">
      <c r="B29" s="1" t="s">
        <v>1481</v>
      </c>
      <c r="C29" s="45">
        <f t="shared" ref="C29:AS29" si="94">C27-C28</f>
        <v>28.099999999999987</v>
      </c>
      <c r="D29" s="45">
        <f t="shared" si="94"/>
        <v>62.400000000000034</v>
      </c>
      <c r="E29" s="45">
        <f t="shared" si="94"/>
        <v>64.500000000000028</v>
      </c>
      <c r="F29" s="45">
        <f t="shared" si="94"/>
        <v>77.600000000000023</v>
      </c>
      <c r="G29" s="45">
        <f t="shared" si="94"/>
        <v>85.30000000000004</v>
      </c>
      <c r="H29" s="45">
        <f t="shared" si="94"/>
        <v>88.69999999999996</v>
      </c>
      <c r="I29" s="45">
        <f t="shared" si="94"/>
        <v>86.599999999999966</v>
      </c>
      <c r="J29" s="45">
        <f t="shared" si="94"/>
        <v>121.20000000000002</v>
      </c>
      <c r="K29" s="45">
        <f t="shared" si="94"/>
        <v>104.10000000000002</v>
      </c>
      <c r="L29" s="45">
        <f t="shared" si="94"/>
        <v>117.40000000000002</v>
      </c>
      <c r="M29" s="45">
        <f t="shared" si="94"/>
        <v>122.4</v>
      </c>
      <c r="N29" s="45">
        <f t="shared" si="94"/>
        <v>151.19999999999996</v>
      </c>
      <c r="O29" s="45">
        <f t="shared" si="94"/>
        <v>143.5</v>
      </c>
      <c r="P29" s="45">
        <f t="shared" si="94"/>
        <v>154.89999999999995</v>
      </c>
      <c r="Q29" s="45">
        <f t="shared" si="94"/>
        <v>183.29999999999998</v>
      </c>
      <c r="R29" s="45">
        <f t="shared" si="94"/>
        <v>174.89999999999995</v>
      </c>
      <c r="S29" s="45">
        <f t="shared" si="94"/>
        <v>188.89999999999998</v>
      </c>
      <c r="T29" s="45">
        <f t="shared" si="94"/>
        <v>159.10000000000002</v>
      </c>
      <c r="U29" s="45">
        <f t="shared" si="94"/>
        <v>156.79999999999998</v>
      </c>
      <c r="V29" s="45">
        <f t="shared" si="94"/>
        <v>166.2000000000001</v>
      </c>
      <c r="W29" s="45">
        <f t="shared" si="94"/>
        <v>44.299999999999969</v>
      </c>
      <c r="X29" s="45">
        <f t="shared" si="94"/>
        <v>104.00000000000006</v>
      </c>
      <c r="Y29" s="45">
        <f t="shared" si="94"/>
        <v>123.70000000000002</v>
      </c>
      <c r="Z29" s="45">
        <f t="shared" si="94"/>
        <v>146.80000000000001</v>
      </c>
      <c r="AA29" s="45">
        <f t="shared" si="94"/>
        <v>97.000000000000014</v>
      </c>
      <c r="AB29" s="45">
        <f t="shared" si="94"/>
        <v>134.49999999999997</v>
      </c>
      <c r="AC29" s="45">
        <f t="shared" si="94"/>
        <v>167.30000000000004</v>
      </c>
      <c r="AD29" s="45">
        <f t="shared" si="94"/>
        <v>190</v>
      </c>
      <c r="AE29" s="45">
        <f t="shared" si="94"/>
        <v>136.4</v>
      </c>
      <c r="AF29" s="45">
        <f t="shared" si="94"/>
        <v>184.50000000000003</v>
      </c>
      <c r="AG29" s="45">
        <f t="shared" si="94"/>
        <v>210.99999999999994</v>
      </c>
      <c r="AH29" s="45">
        <f t="shared" si="94"/>
        <v>206.39999999999998</v>
      </c>
      <c r="AI29" s="45">
        <f t="shared" si="94"/>
        <v>180.8</v>
      </c>
      <c r="AJ29" s="45">
        <f t="shared" si="94"/>
        <v>222.99999999999994</v>
      </c>
      <c r="AK29" s="45">
        <f t="shared" si="94"/>
        <v>298.59999999999991</v>
      </c>
      <c r="AL29" s="45">
        <f t="shared" si="94"/>
        <v>-31.5</v>
      </c>
      <c r="AM29" s="45">
        <f t="shared" si="94"/>
        <v>287.2999999999999</v>
      </c>
      <c r="AN29" s="45">
        <f t="shared" si="94"/>
        <v>254.59999999999997</v>
      </c>
      <c r="AO29" s="45">
        <f t="shared" si="94"/>
        <v>291.79999999999995</v>
      </c>
      <c r="AP29" s="45">
        <f t="shared" si="94"/>
        <v>291.3</v>
      </c>
      <c r="AQ29" s="45">
        <f t="shared" si="94"/>
        <v>304.00000000000006</v>
      </c>
      <c r="AR29" s="45">
        <f t="shared" si="94"/>
        <v>316.40000000000009</v>
      </c>
      <c r="AS29" s="45">
        <f t="shared" si="94"/>
        <v>398.70000000000005</v>
      </c>
      <c r="AT29" s="45">
        <f>AT27-AT28</f>
        <v>362.70000000000005</v>
      </c>
      <c r="AU29" s="45">
        <f t="shared" ref="AU29:BO29" si="95">AU27-AU28</f>
        <v>313.3</v>
      </c>
      <c r="AV29" s="45">
        <f t="shared" si="95"/>
        <v>68.199999999999903</v>
      </c>
      <c r="AW29" s="45">
        <f t="shared" si="95"/>
        <v>313.90000000000015</v>
      </c>
      <c r="AX29" s="45">
        <f t="shared" si="95"/>
        <v>365.19999999999993</v>
      </c>
      <c r="AY29" s="45">
        <f t="shared" si="95"/>
        <v>426.2999999999999</v>
      </c>
      <c r="AZ29" s="45">
        <f t="shared" si="95"/>
        <v>517.20000000000005</v>
      </c>
      <c r="BA29" s="45">
        <f t="shared" si="95"/>
        <v>380.50000000000006</v>
      </c>
      <c r="BB29" s="45">
        <f t="shared" si="95"/>
        <v>380.60000000000019</v>
      </c>
      <c r="BC29" s="45">
        <f t="shared" si="95"/>
        <v>365.6</v>
      </c>
      <c r="BD29" s="45">
        <f t="shared" si="95"/>
        <v>307.80000000000013</v>
      </c>
      <c r="BE29" s="45">
        <f t="shared" si="95"/>
        <v>324.00000000000006</v>
      </c>
      <c r="BF29" s="45">
        <f t="shared" si="95"/>
        <v>324.90000000000009</v>
      </c>
      <c r="BG29" s="45">
        <f t="shared" si="95"/>
        <v>355.3</v>
      </c>
      <c r="BH29" s="45">
        <f t="shared" si="95"/>
        <v>420.80000000000007</v>
      </c>
      <c r="BI29" s="45">
        <f t="shared" si="95"/>
        <v>415.70000000000033</v>
      </c>
      <c r="BJ29" s="45">
        <f t="shared" si="95"/>
        <v>606.20000000000027</v>
      </c>
      <c r="BK29" s="45">
        <f t="shared" si="95"/>
        <v>544.90000000000009</v>
      </c>
      <c r="BL29" s="45">
        <f t="shared" si="95"/>
        <v>526.90000000000009</v>
      </c>
      <c r="BM29" s="45">
        <f t="shared" si="95"/>
        <v>565.09999999999991</v>
      </c>
      <c r="BN29" s="45">
        <f t="shared" si="95"/>
        <v>685.70000000000027</v>
      </c>
      <c r="BO29" s="45">
        <f t="shared" si="95"/>
        <v>698.4000000000002</v>
      </c>
      <c r="BP29" s="45">
        <f t="shared" ref="BP29:BU29" si="96">BP27-BP28</f>
        <v>658.4000000000002</v>
      </c>
      <c r="BQ29" s="45">
        <f t="shared" si="96"/>
        <v>703.79999999999984</v>
      </c>
      <c r="BR29" s="45">
        <f t="shared" si="96"/>
        <v>796.49999999999977</v>
      </c>
      <c r="BS29" s="45">
        <f t="shared" si="96"/>
        <v>821.50000000000034</v>
      </c>
      <c r="BT29" s="45">
        <f t="shared" si="96"/>
        <v>818.10000000000014</v>
      </c>
      <c r="BU29" s="45">
        <f t="shared" si="96"/>
        <v>522.79999999999961</v>
      </c>
      <c r="CA29" s="45">
        <f t="shared" si="44"/>
        <v>232.60000000000008</v>
      </c>
      <c r="CB29" s="45">
        <f t="shared" si="45"/>
        <v>381.79999999999995</v>
      </c>
      <c r="CC29" s="45">
        <f t="shared" si="46"/>
        <v>495.1</v>
      </c>
      <c r="CD29" s="45">
        <f t="shared" si="47"/>
        <v>656.59999999999991</v>
      </c>
      <c r="CE29" s="45">
        <f t="shared" si="48"/>
        <v>671</v>
      </c>
      <c r="CF29" s="45">
        <f t="shared" si="49"/>
        <v>418.8</v>
      </c>
      <c r="CG29" s="45">
        <f t="shared" si="50"/>
        <v>588.80000000000007</v>
      </c>
      <c r="CH29" s="45">
        <f t="shared" si="51"/>
        <v>738.3</v>
      </c>
      <c r="CI29" s="45">
        <f t="shared" si="52"/>
        <v>670.89999999999986</v>
      </c>
      <c r="CJ29" s="45">
        <f t="shared" si="53"/>
        <v>1124.9999999999998</v>
      </c>
      <c r="CK29" s="45">
        <f t="shared" si="54"/>
        <v>1381.8000000000002</v>
      </c>
      <c r="CL29" s="45">
        <f t="shared" si="36"/>
        <v>1060.5999999999999</v>
      </c>
      <c r="CM29" s="45">
        <f t="shared" si="37"/>
        <v>1704.6000000000001</v>
      </c>
      <c r="CN29" s="45">
        <f t="shared" si="38"/>
        <v>1322.3000000000002</v>
      </c>
      <c r="CO29" s="45">
        <f t="shared" si="39"/>
        <v>1798.0000000000007</v>
      </c>
      <c r="CP29" s="45">
        <f t="shared" si="40"/>
        <v>2322.6000000000004</v>
      </c>
      <c r="CQ29" s="45">
        <f t="shared" si="41"/>
        <v>2857.1000000000004</v>
      </c>
      <c r="CR29" s="70"/>
      <c r="CS29" s="70"/>
      <c r="CT29" s="70"/>
      <c r="CU29" s="70"/>
      <c r="CV29" s="70"/>
      <c r="CW29" s="70"/>
      <c r="CX29" s="70"/>
      <c r="CY29" s="70"/>
      <c r="CZ29" s="70"/>
      <c r="DA29" s="70"/>
    </row>
    <row r="30" spans="2:157">
      <c r="B30" s="1" t="s">
        <v>141</v>
      </c>
      <c r="C30" s="43">
        <v>355</v>
      </c>
      <c r="D30" s="43">
        <v>355</v>
      </c>
      <c r="E30" s="43">
        <v>355</v>
      </c>
      <c r="F30" s="43">
        <v>354</v>
      </c>
      <c r="G30" s="43">
        <v>354</v>
      </c>
      <c r="H30" s="43">
        <v>353</v>
      </c>
      <c r="I30" s="43">
        <v>352</v>
      </c>
      <c r="J30" s="43">
        <v>352</v>
      </c>
      <c r="K30" s="43">
        <v>352</v>
      </c>
      <c r="L30" s="43">
        <v>353</v>
      </c>
      <c r="M30" s="43">
        <v>352</v>
      </c>
      <c r="N30" s="43">
        <v>353</v>
      </c>
      <c r="O30" s="43">
        <v>356</v>
      </c>
      <c r="P30" s="43">
        <v>359</v>
      </c>
      <c r="Q30" s="43">
        <v>359</v>
      </c>
      <c r="R30" s="43">
        <v>358</v>
      </c>
      <c r="S30" s="43">
        <v>363</v>
      </c>
      <c r="T30" s="43">
        <v>359</v>
      </c>
      <c r="U30" s="43">
        <v>347</v>
      </c>
      <c r="V30" s="43">
        <v>353</v>
      </c>
      <c r="W30" s="43">
        <v>345</v>
      </c>
      <c r="X30" s="43">
        <v>332</v>
      </c>
      <c r="Y30" s="43">
        <v>325</v>
      </c>
      <c r="Z30" s="43">
        <v>332</v>
      </c>
      <c r="AA30" s="43">
        <v>330</v>
      </c>
      <c r="AB30" s="43">
        <v>332</v>
      </c>
      <c r="AC30" s="43">
        <v>336</v>
      </c>
      <c r="AD30" s="43">
        <v>334</v>
      </c>
      <c r="AE30" s="43">
        <v>339</v>
      </c>
      <c r="AF30" s="43">
        <v>345</v>
      </c>
      <c r="AG30" s="43">
        <v>348</v>
      </c>
      <c r="AH30" s="43">
        <v>345</v>
      </c>
      <c r="AI30" s="43">
        <v>336</v>
      </c>
      <c r="AJ30" s="43">
        <v>333</v>
      </c>
      <c r="AK30" s="43">
        <v>335</v>
      </c>
      <c r="AL30" s="43">
        <v>335</v>
      </c>
      <c r="AM30" s="43">
        <v>338</v>
      </c>
      <c r="AN30" s="43">
        <v>341</v>
      </c>
      <c r="AO30" s="43">
        <v>342</v>
      </c>
      <c r="AP30" s="43">
        <v>341</v>
      </c>
      <c r="AQ30" s="43">
        <v>345</v>
      </c>
      <c r="AR30" s="43">
        <v>346</v>
      </c>
      <c r="AS30" s="43">
        <v>346</v>
      </c>
      <c r="AT30" s="43">
        <v>346</v>
      </c>
      <c r="AU30" s="1">
        <v>349.20000000000005</v>
      </c>
      <c r="AV30" s="1">
        <v>350.4</v>
      </c>
      <c r="AW30" s="1">
        <v>352</v>
      </c>
      <c r="AX30" s="1">
        <v>351.1</v>
      </c>
      <c r="AY30" s="1">
        <v>354.2</v>
      </c>
      <c r="AZ30" s="1">
        <v>355.7</v>
      </c>
      <c r="BA30" s="1">
        <v>356.8</v>
      </c>
      <c r="BB30" s="1">
        <v>356.1</v>
      </c>
      <c r="BC30" s="1">
        <v>358.4</v>
      </c>
      <c r="BD30" s="1">
        <v>358.1</v>
      </c>
      <c r="BE30" s="1">
        <v>355.3</v>
      </c>
      <c r="BF30" s="1">
        <v>355.7</v>
      </c>
      <c r="BG30" s="1">
        <v>350.2</v>
      </c>
      <c r="BH30" s="1">
        <v>350.9</v>
      </c>
      <c r="BI30" s="1">
        <v>351.7</v>
      </c>
      <c r="BJ30" s="1">
        <v>351.2</v>
      </c>
      <c r="BK30" s="1">
        <v>353.5</v>
      </c>
      <c r="BL30" s="43">
        <v>355</v>
      </c>
      <c r="BM30" s="1">
        <v>355.8</v>
      </c>
      <c r="BN30" s="45">
        <v>355.2</v>
      </c>
      <c r="BO30" s="1">
        <v>357.5</v>
      </c>
      <c r="BP30" s="1">
        <v>358.5</v>
      </c>
      <c r="BQ30" s="1">
        <v>356.6</v>
      </c>
      <c r="BR30" s="1">
        <v>355.13</v>
      </c>
      <c r="BS30" s="1">
        <v>354.9</v>
      </c>
      <c r="BT30" s="1">
        <v>354.1</v>
      </c>
      <c r="BU30" s="1">
        <v>349</v>
      </c>
      <c r="CA30" s="43">
        <f>AVERAGE(C30:F30)</f>
        <v>354.75</v>
      </c>
      <c r="CB30" s="43">
        <f>AVERAGE(G30:J30)</f>
        <v>352.75</v>
      </c>
      <c r="CC30" s="43">
        <f>AVERAGE(K30:N30)</f>
        <v>352.5</v>
      </c>
      <c r="CD30" s="43">
        <f>AVERAGE(O30:R30)</f>
        <v>358</v>
      </c>
      <c r="CE30" s="43">
        <f>AVERAGE(S30:V30)</f>
        <v>355.5</v>
      </c>
      <c r="CF30" s="43">
        <f>AVERAGE(W30:Z30)</f>
        <v>333.5</v>
      </c>
      <c r="CG30" s="43">
        <f>AVERAGE(AA30:AD30)</f>
        <v>333</v>
      </c>
      <c r="CH30" s="43">
        <f>AVERAGE(AE30:AH30)</f>
        <v>344.25</v>
      </c>
      <c r="CI30" s="43">
        <f>AVERAGE(AI30:AL30)</f>
        <v>334.75</v>
      </c>
      <c r="CJ30" s="43">
        <f>AVERAGE(AM30:AP30)</f>
        <v>340.5</v>
      </c>
      <c r="CK30" s="43">
        <f>AVERAGE(AQ30:AT30)</f>
        <v>345.75</v>
      </c>
      <c r="CL30" s="43">
        <f>AVERAGE(AU30:AX30)</f>
        <v>350.67499999999995</v>
      </c>
      <c r="CM30" s="43">
        <f>AVERAGE(AY30:BB30)</f>
        <v>355.70000000000005</v>
      </c>
      <c r="CN30" s="43">
        <f>AVERAGE(BC30:BF30)</f>
        <v>356.875</v>
      </c>
      <c r="CO30" s="43">
        <f>AVERAGE(BG30:BJ30)</f>
        <v>351</v>
      </c>
      <c r="CP30" s="43">
        <f>AVERAGE(BK30:BN30)</f>
        <v>354.875</v>
      </c>
      <c r="CQ30" s="45">
        <f>AVERAGE(BO30:BR30)</f>
        <v>356.9325</v>
      </c>
    </row>
    <row r="31" spans="2:157">
      <c r="B31" s="1" t="s">
        <v>1461</v>
      </c>
      <c r="C31" s="39">
        <f t="shared" ref="C31:AT31" si="97">C27/C30</f>
        <v>7.9154929577464755E-2</v>
      </c>
      <c r="D31" s="39">
        <f t="shared" si="97"/>
        <v>0.17577464788732403</v>
      </c>
      <c r="E31" s="39">
        <f t="shared" si="97"/>
        <v>0.18169014084507051</v>
      </c>
      <c r="F31" s="39">
        <f t="shared" si="97"/>
        <v>0.21920903954802265</v>
      </c>
      <c r="G31" s="39">
        <f t="shared" si="97"/>
        <v>0.24096045197740124</v>
      </c>
      <c r="H31" s="39">
        <f t="shared" si="97"/>
        <v>0.25127478753541066</v>
      </c>
      <c r="I31" s="39">
        <f t="shared" si="97"/>
        <v>0.24602272727272717</v>
      </c>
      <c r="J31" s="39">
        <f t="shared" si="97"/>
        <v>0.34431818181818186</v>
      </c>
      <c r="K31" s="39">
        <f t="shared" si="97"/>
        <v>0.29573863636363645</v>
      </c>
      <c r="L31" s="39">
        <f t="shared" si="97"/>
        <v>0.33257790368271961</v>
      </c>
      <c r="M31" s="39">
        <f t="shared" si="97"/>
        <v>0.34772727272727272</v>
      </c>
      <c r="N31" s="39">
        <f t="shared" si="97"/>
        <v>0.42832861189801691</v>
      </c>
      <c r="O31" s="39">
        <f t="shared" si="97"/>
        <v>0.40308988764044945</v>
      </c>
      <c r="P31" s="39">
        <f t="shared" si="97"/>
        <v>0.43147632311977702</v>
      </c>
      <c r="Q31" s="39">
        <f t="shared" si="97"/>
        <v>0.51058495821727012</v>
      </c>
      <c r="R31" s="39">
        <f t="shared" si="97"/>
        <v>0.48854748603351938</v>
      </c>
      <c r="S31" s="39">
        <f t="shared" si="97"/>
        <v>0.52038567493112942</v>
      </c>
      <c r="T31" s="39">
        <f t="shared" si="97"/>
        <v>0.44317548746518109</v>
      </c>
      <c r="U31" s="39">
        <f t="shared" si="97"/>
        <v>0.45187319884726218</v>
      </c>
      <c r="V31" s="39">
        <f t="shared" si="97"/>
        <v>0.47082152974504277</v>
      </c>
      <c r="W31" s="39">
        <f t="shared" si="97"/>
        <v>0.1284057971014492</v>
      </c>
      <c r="X31" s="39">
        <f t="shared" si="97"/>
        <v>0.31325301204819295</v>
      </c>
      <c r="Y31" s="39">
        <f t="shared" si="97"/>
        <v>0.38061538461538469</v>
      </c>
      <c r="Z31" s="39">
        <f t="shared" si="97"/>
        <v>0.44216867469879523</v>
      </c>
      <c r="AA31" s="39">
        <f t="shared" si="97"/>
        <v>0.293939393939394</v>
      </c>
      <c r="AB31" s="39">
        <f t="shared" si="97"/>
        <v>0.40512048192771077</v>
      </c>
      <c r="AC31" s="39">
        <f t="shared" si="97"/>
        <v>0.49791666666666679</v>
      </c>
      <c r="AD31" s="39">
        <f t="shared" si="97"/>
        <v>0.56886227544910184</v>
      </c>
      <c r="AE31" s="39">
        <f t="shared" si="97"/>
        <v>0.40235988200589973</v>
      </c>
      <c r="AF31" s="39">
        <f t="shared" si="97"/>
        <v>0.53478260869565231</v>
      </c>
      <c r="AG31" s="39">
        <f t="shared" si="97"/>
        <v>0.60632183908045956</v>
      </c>
      <c r="AH31" s="39">
        <f t="shared" si="97"/>
        <v>0.59826086956521729</v>
      </c>
      <c r="AI31" s="39">
        <f t="shared" si="97"/>
        <v>0.53809523809523818</v>
      </c>
      <c r="AJ31" s="39">
        <f t="shared" si="97"/>
        <v>0.66966966966966945</v>
      </c>
      <c r="AK31" s="39">
        <f t="shared" si="97"/>
        <v>0.89134328358208925</v>
      </c>
      <c r="AL31" s="39">
        <f t="shared" si="97"/>
        <v>-9.4029850746268656E-2</v>
      </c>
      <c r="AM31" s="39">
        <f t="shared" si="97"/>
        <v>0.84999999999999964</v>
      </c>
      <c r="AN31" s="39">
        <f t="shared" si="97"/>
        <v>0.74662756598240454</v>
      </c>
      <c r="AO31" s="39">
        <f t="shared" si="97"/>
        <v>0.85321637426900576</v>
      </c>
      <c r="AP31" s="39">
        <f t="shared" si="97"/>
        <v>0.85425219941348973</v>
      </c>
      <c r="AQ31" s="39">
        <f t="shared" si="97"/>
        <v>0.88115942028985528</v>
      </c>
      <c r="AR31" s="39">
        <f t="shared" si="97"/>
        <v>0.91445086705202339</v>
      </c>
      <c r="AS31" s="39">
        <f t="shared" si="97"/>
        <v>1.1523121387283237</v>
      </c>
      <c r="AT31" s="39">
        <f t="shared" si="97"/>
        <v>1.0482658959537574</v>
      </c>
      <c r="AU31" s="39">
        <f t="shared" ref="AU31:BO31" si="98">AU27/AU30</f>
        <v>0.90492554410080173</v>
      </c>
      <c r="AV31" s="39">
        <f t="shared" si="98"/>
        <v>0.2003424657534244</v>
      </c>
      <c r="AW31" s="39">
        <f t="shared" si="98"/>
        <v>0.90000000000000036</v>
      </c>
      <c r="AX31" s="39">
        <f t="shared" si="98"/>
        <v>1.0361720307604669</v>
      </c>
      <c r="AY31" s="39">
        <f t="shared" si="98"/>
        <v>1.2286843591191414</v>
      </c>
      <c r="AZ31" s="39">
        <f t="shared" si="98"/>
        <v>1.4703401743041891</v>
      </c>
      <c r="BA31" s="39">
        <f t="shared" si="98"/>
        <v>1.0852017937219731</v>
      </c>
      <c r="BB31" s="39">
        <f t="shared" si="98"/>
        <v>1.0746981185060382</v>
      </c>
      <c r="BC31" s="39">
        <f t="shared" si="98"/>
        <v>1.0306919642857144</v>
      </c>
      <c r="BD31" s="39">
        <f t="shared" si="98"/>
        <v>0.87573303546495429</v>
      </c>
      <c r="BE31" s="39">
        <f t="shared" si="98"/>
        <v>0.91387559808612451</v>
      </c>
      <c r="BF31" s="39">
        <f t="shared" si="98"/>
        <v>0.94658420016868183</v>
      </c>
      <c r="BG31" s="39">
        <f t="shared" si="98"/>
        <v>1.0302684180468304</v>
      </c>
      <c r="BH31" s="39">
        <f t="shared" si="98"/>
        <v>1.2140210886292393</v>
      </c>
      <c r="BI31" s="39">
        <f t="shared" si="98"/>
        <v>1.1936309354563559</v>
      </c>
      <c r="BJ31" s="39">
        <f t="shared" si="98"/>
        <v>1.7388952164009119</v>
      </c>
      <c r="BK31" s="39">
        <f t="shared" si="98"/>
        <v>1.5485148514851488</v>
      </c>
      <c r="BL31" s="39">
        <f t="shared" si="98"/>
        <v>1.4971830985915495</v>
      </c>
      <c r="BM31" s="39">
        <f t="shared" si="98"/>
        <v>1.6037099494097804</v>
      </c>
      <c r="BN31" s="39">
        <f t="shared" si="98"/>
        <v>1.9369369369369376</v>
      </c>
      <c r="BO31" s="39">
        <f t="shared" si="98"/>
        <v>1.9683916083916089</v>
      </c>
      <c r="BP31" s="39">
        <f t="shared" ref="BP31:BU31" si="99">BP27/BP30</f>
        <v>1.8527196652719671</v>
      </c>
      <c r="BQ31" s="39">
        <f t="shared" si="99"/>
        <v>1.9871003925967463</v>
      </c>
      <c r="BR31" s="39">
        <f t="shared" si="99"/>
        <v>2.256075240052938</v>
      </c>
      <c r="BS31" s="39">
        <f t="shared" si="99"/>
        <v>2.327416173570021</v>
      </c>
      <c r="BT31" s="39">
        <f t="shared" si="99"/>
        <v>2.3247670149675237</v>
      </c>
      <c r="BU31" s="39">
        <f t="shared" si="99"/>
        <v>1.5025787965616035</v>
      </c>
      <c r="CA31" s="39">
        <f t="shared" si="44"/>
        <v>0.65582875785788197</v>
      </c>
      <c r="CB31" s="39">
        <f t="shared" si="45"/>
        <v>1.0825761486037209</v>
      </c>
      <c r="CC31" s="39">
        <f t="shared" si="46"/>
        <v>1.4043724246716458</v>
      </c>
      <c r="CD31" s="39">
        <f t="shared" si="47"/>
        <v>1.8336986550110161</v>
      </c>
      <c r="CE31" s="39">
        <f t="shared" si="48"/>
        <v>1.8862558909886156</v>
      </c>
      <c r="CF31" s="39">
        <f t="shared" si="49"/>
        <v>1.264442868463822</v>
      </c>
      <c r="CG31" s="39">
        <f t="shared" si="50"/>
        <v>1.7658388179828735</v>
      </c>
      <c r="CH31" s="39">
        <f t="shared" si="51"/>
        <v>2.141725199347229</v>
      </c>
      <c r="CI31" s="39">
        <f t="shared" si="52"/>
        <v>2.0050783406007286</v>
      </c>
      <c r="CJ31" s="39">
        <f t="shared" si="53"/>
        <v>3.3040961396648996</v>
      </c>
      <c r="CK31" s="39">
        <f t="shared" si="54"/>
        <v>3.9961883220239596</v>
      </c>
      <c r="CL31" s="39">
        <f>SUM(AU31:AX31)</f>
        <v>3.0414400406146935</v>
      </c>
      <c r="CM31" s="39">
        <f>SUM(AY31:BB31)</f>
        <v>4.8589244456513416</v>
      </c>
      <c r="CN31" s="39">
        <f>SUM(BC31:BF31)</f>
        <v>3.7668847980054752</v>
      </c>
      <c r="CO31" s="39">
        <f>SUM(BG31:BJ31)</f>
        <v>5.1768156585333376</v>
      </c>
      <c r="CP31" s="39">
        <f>SUM(BK31:BN31)</f>
        <v>6.5863448364234163</v>
      </c>
      <c r="CQ31" s="39">
        <f>SUM(BO31:BR31)</f>
        <v>8.0642869063132601</v>
      </c>
    </row>
    <row r="32" spans="2:157">
      <c r="BP32" s="1"/>
      <c r="BQ32" s="1"/>
    </row>
    <row r="33" spans="2:119">
      <c r="B33" s="37" t="s">
        <v>122</v>
      </c>
      <c r="C33" s="46">
        <f t="shared" ref="C33:AT33" si="100">C20/C18</f>
        <v>0.68312101910828016</v>
      </c>
      <c r="D33" s="46">
        <f t="shared" si="100"/>
        <v>0.72985418265541058</v>
      </c>
      <c r="E33" s="46">
        <f t="shared" si="100"/>
        <v>0.71046054980364159</v>
      </c>
      <c r="F33" s="46">
        <f t="shared" si="100"/>
        <v>0.72175796966883321</v>
      </c>
      <c r="G33" s="46">
        <f t="shared" si="100"/>
        <v>0.73189287888009746</v>
      </c>
      <c r="H33" s="46">
        <f t="shared" si="100"/>
        <v>0.73224978614200165</v>
      </c>
      <c r="I33" s="46">
        <f t="shared" si="100"/>
        <v>0.72764227642276413</v>
      </c>
      <c r="J33" s="46">
        <f t="shared" si="100"/>
        <v>0.72463395838684819</v>
      </c>
      <c r="K33" s="46">
        <f t="shared" si="100"/>
        <v>0.71837155372326722</v>
      </c>
      <c r="L33" s="46">
        <f t="shared" si="100"/>
        <v>0.72022551092318543</v>
      </c>
      <c r="M33" s="46">
        <f t="shared" si="100"/>
        <v>0.72867696440564134</v>
      </c>
      <c r="N33" s="46">
        <f t="shared" si="100"/>
        <v>0.73047504025764887</v>
      </c>
      <c r="O33" s="46">
        <f t="shared" si="100"/>
        <v>0.71869951534733434</v>
      </c>
      <c r="P33" s="46">
        <f t="shared" si="100"/>
        <v>0.72022367194780978</v>
      </c>
      <c r="Q33" s="46">
        <f t="shared" si="100"/>
        <v>0.72536258832279654</v>
      </c>
      <c r="R33" s="46">
        <f t="shared" si="100"/>
        <v>0.71869358279993434</v>
      </c>
      <c r="S33" s="46">
        <f t="shared" si="100"/>
        <v>0.71033693163231926</v>
      </c>
      <c r="T33" s="46">
        <f t="shared" si="100"/>
        <v>0.70043215211754539</v>
      </c>
      <c r="U33" s="46">
        <f t="shared" si="100"/>
        <v>0.71482965931863729</v>
      </c>
      <c r="V33" s="46">
        <f t="shared" si="100"/>
        <v>0.69073238458868458</v>
      </c>
      <c r="W33" s="46">
        <f t="shared" si="100"/>
        <v>0.67871745211964707</v>
      </c>
      <c r="X33" s="46">
        <f t="shared" si="100"/>
        <v>0.67239359625146433</v>
      </c>
      <c r="Y33" s="46">
        <f t="shared" si="100"/>
        <v>0.65551717869478277</v>
      </c>
      <c r="Z33" s="46">
        <f t="shared" si="100"/>
        <v>0.65057053084173966</v>
      </c>
      <c r="AA33" s="46">
        <f t="shared" si="100"/>
        <v>0.63296372862243944</v>
      </c>
      <c r="AB33" s="46">
        <f t="shared" si="100"/>
        <v>0.65944378092475686</v>
      </c>
      <c r="AC33" s="46">
        <f t="shared" si="100"/>
        <v>0.67118874003730722</v>
      </c>
      <c r="AD33" s="46">
        <f t="shared" si="100"/>
        <v>0.67819660014781968</v>
      </c>
      <c r="AE33" s="46">
        <f t="shared" si="100"/>
        <v>0.68124474348191755</v>
      </c>
      <c r="AF33" s="46">
        <f t="shared" si="100"/>
        <v>0.70273093568124168</v>
      </c>
      <c r="AG33" s="46">
        <f t="shared" si="100"/>
        <v>0.71313515888124179</v>
      </c>
      <c r="AH33" s="46">
        <f t="shared" si="100"/>
        <v>0.69828722002635046</v>
      </c>
      <c r="AI33" s="46">
        <f t="shared" si="100"/>
        <v>0.69128899352560325</v>
      </c>
      <c r="AJ33" s="46">
        <f t="shared" si="100"/>
        <v>0.69860305745914597</v>
      </c>
      <c r="AK33" s="46">
        <f t="shared" si="100"/>
        <v>0.70326813567714774</v>
      </c>
      <c r="AL33" s="46">
        <f t="shared" si="100"/>
        <v>0.71076233183856508</v>
      </c>
      <c r="AM33" s="46">
        <f t="shared" si="100"/>
        <v>0.70064896755162231</v>
      </c>
      <c r="AN33" s="46">
        <f t="shared" si="100"/>
        <v>0.69537006488507647</v>
      </c>
      <c r="AO33" s="46">
        <f t="shared" si="100"/>
        <v>0.69746986643500919</v>
      </c>
      <c r="AP33" s="46">
        <f t="shared" si="100"/>
        <v>0.70301003344481605</v>
      </c>
      <c r="AQ33" s="46">
        <f t="shared" si="100"/>
        <v>0.6876861456300708</v>
      </c>
      <c r="AR33" s="46">
        <f t="shared" si="100"/>
        <v>0.69069069069069078</v>
      </c>
      <c r="AS33" s="46">
        <f t="shared" si="100"/>
        <v>0.69633043786562665</v>
      </c>
      <c r="AT33" s="46">
        <f t="shared" si="100"/>
        <v>0.70126007670032087</v>
      </c>
      <c r="AU33" s="46">
        <f t="shared" ref="AU33:BO33" si="101">AU20/AU18</f>
        <v>0.67139608913142346</v>
      </c>
      <c r="AV33" s="46">
        <f t="shared" si="101"/>
        <v>0.5901889449595118</v>
      </c>
      <c r="AW33" s="46">
        <f t="shared" si="101"/>
        <v>0.67207942841235968</v>
      </c>
      <c r="AX33" s="46">
        <f t="shared" si="101"/>
        <v>0.67398991798961705</v>
      </c>
      <c r="AY33" s="46">
        <f t="shared" si="101"/>
        <v>0.69855274359569686</v>
      </c>
      <c r="AZ33" s="46">
        <f t="shared" si="101"/>
        <v>0.69924863387978142</v>
      </c>
      <c r="BA33" s="46">
        <f t="shared" si="101"/>
        <v>0.69222546853844513</v>
      </c>
      <c r="BB33" s="46">
        <f t="shared" si="101"/>
        <v>0.6840781582511124</v>
      </c>
      <c r="BC33" s="46">
        <f t="shared" si="101"/>
        <v>0.67869866236472409</v>
      </c>
      <c r="BD33" s="46">
        <f t="shared" si="101"/>
        <v>0.67229485579134096</v>
      </c>
      <c r="BE33" s="46">
        <f t="shared" si="101"/>
        <v>0.67554899190959294</v>
      </c>
      <c r="BF33" s="46">
        <f t="shared" si="101"/>
        <v>0.67123867069486409</v>
      </c>
      <c r="BG33" s="46">
        <f t="shared" si="101"/>
        <v>0.65617262115316588</v>
      </c>
      <c r="BH33" s="46">
        <f t="shared" si="101"/>
        <v>0.66740702773506466</v>
      </c>
      <c r="BI33" s="46">
        <f t="shared" si="101"/>
        <v>0.66938120089464936</v>
      </c>
      <c r="BJ33" s="46">
        <f t="shared" si="101"/>
        <v>0.66244878908883487</v>
      </c>
      <c r="BK33" s="46">
        <f t="shared" si="101"/>
        <v>0.65873267745689201</v>
      </c>
      <c r="BL33" s="46">
        <f t="shared" si="101"/>
        <v>0.68296930195532113</v>
      </c>
      <c r="BM33" s="46">
        <f t="shared" si="101"/>
        <v>0.67410823806486431</v>
      </c>
      <c r="BN33" s="46">
        <f t="shared" si="101"/>
        <v>0.6804226227470479</v>
      </c>
      <c r="BO33" s="46">
        <f t="shared" si="101"/>
        <v>0.64688914529155939</v>
      </c>
      <c r="BP33" s="46">
        <f t="shared" ref="BP33:BU33" si="102">BP20/BP18</f>
        <v>0.66307377049180327</v>
      </c>
      <c r="BQ33" s="46">
        <f t="shared" si="102"/>
        <v>0.66348534462103659</v>
      </c>
      <c r="BR33" s="46">
        <f t="shared" si="102"/>
        <v>0.6645159040178571</v>
      </c>
      <c r="BS33" s="46">
        <f t="shared" si="102"/>
        <v>0.66063952649054425</v>
      </c>
      <c r="BT33" s="46">
        <f t="shared" si="102"/>
        <v>0.67779967499913563</v>
      </c>
      <c r="BU33" s="46">
        <f t="shared" si="102"/>
        <v>0.68366844884704947</v>
      </c>
      <c r="CL33" s="46">
        <f t="shared" ref="CL33:CP33" si="103">CL20/CL18</f>
        <v>0.65647944199706321</v>
      </c>
      <c r="CM33" s="46">
        <f t="shared" si="103"/>
        <v>0.69324530218384961</v>
      </c>
      <c r="CN33" s="46">
        <f t="shared" si="103"/>
        <v>0.67435955128411185</v>
      </c>
      <c r="CO33" s="46">
        <f t="shared" si="103"/>
        <v>0.66387333136817284</v>
      </c>
      <c r="CP33" s="46">
        <f t="shared" si="103"/>
        <v>0.67458483495168875</v>
      </c>
      <c r="CQ33" s="46">
        <f t="shared" ref="CQ33" si="104">CQ20/CQ18</f>
        <v>0.65996343692870207</v>
      </c>
      <c r="CR33" s="68">
        <v>0.67100000000000004</v>
      </c>
      <c r="CS33" s="68">
        <v>0.66800000000000004</v>
      </c>
      <c r="CT33" s="68">
        <v>0.67</v>
      </c>
      <c r="CU33" s="68">
        <v>0.67100000000000004</v>
      </c>
      <c r="CV33" s="68">
        <v>0.67200000000000004</v>
      </c>
      <c r="CW33" s="68">
        <v>0.67400000000000004</v>
      </c>
      <c r="CX33" s="68">
        <v>0.67500000000000004</v>
      </c>
      <c r="CY33" s="68">
        <v>0.67500000000000004</v>
      </c>
      <c r="CZ33" s="68">
        <v>0.67500000000000004</v>
      </c>
      <c r="DA33" s="68">
        <v>0.67500000000000004</v>
      </c>
    </row>
    <row r="34" spans="2:119">
      <c r="B34" s="37" t="s">
        <v>124</v>
      </c>
      <c r="C34" s="46">
        <f t="shared" ref="C34:AT34" si="105">C21/C18</f>
        <v>0.33121019108280253</v>
      </c>
      <c r="D34" s="46">
        <f t="shared" si="105"/>
        <v>0.25825019186492704</v>
      </c>
      <c r="E34" s="46">
        <f t="shared" si="105"/>
        <v>0.24955373081042484</v>
      </c>
      <c r="F34" s="46">
        <f t="shared" si="105"/>
        <v>0.2445063447848963</v>
      </c>
      <c r="G34" s="46">
        <f t="shared" si="105"/>
        <v>0.25197808886183809</v>
      </c>
      <c r="H34" s="46">
        <f t="shared" si="105"/>
        <v>0.25263758197889935</v>
      </c>
      <c r="I34" s="46">
        <f t="shared" si="105"/>
        <v>0.26596980255516839</v>
      </c>
      <c r="J34" s="46">
        <f t="shared" si="105"/>
        <v>0.24608271256100692</v>
      </c>
      <c r="K34" s="46">
        <f t="shared" si="105"/>
        <v>0.25534656016490592</v>
      </c>
      <c r="L34" s="46">
        <f t="shared" si="105"/>
        <v>0.25017618040873857</v>
      </c>
      <c r="M34" s="46">
        <f t="shared" si="105"/>
        <v>0.2489366465189165</v>
      </c>
      <c r="N34" s="46">
        <f t="shared" si="105"/>
        <v>0.24557165861513688</v>
      </c>
      <c r="O34" s="46">
        <f t="shared" si="105"/>
        <v>0.25080775444264947</v>
      </c>
      <c r="P34" s="46">
        <f t="shared" si="105"/>
        <v>0.22534948741845295</v>
      </c>
      <c r="Q34" s="46">
        <f t="shared" si="105"/>
        <v>0.23986612123465975</v>
      </c>
      <c r="R34" s="46">
        <f t="shared" si="105"/>
        <v>0.24306581322829476</v>
      </c>
      <c r="S34" s="46">
        <f t="shared" si="105"/>
        <v>0.23143604841347729</v>
      </c>
      <c r="T34" s="46">
        <f t="shared" si="105"/>
        <v>0.25151253241140881</v>
      </c>
      <c r="U34" s="46">
        <f t="shared" si="105"/>
        <v>0.27915831663326657</v>
      </c>
      <c r="V34" s="46">
        <f t="shared" si="105"/>
        <v>0.25633460603956953</v>
      </c>
      <c r="W34" s="46">
        <f t="shared" si="105"/>
        <v>0.46438562513449538</v>
      </c>
      <c r="X34" s="46">
        <f t="shared" si="105"/>
        <v>0.31472081218274106</v>
      </c>
      <c r="Y34" s="46">
        <f t="shared" si="105"/>
        <v>0.27994910016360658</v>
      </c>
      <c r="Z34" s="46">
        <f t="shared" si="105"/>
        <v>0.26459401356044315</v>
      </c>
      <c r="AA34" s="46">
        <f t="shared" si="105"/>
        <v>0.30445404999060327</v>
      </c>
      <c r="AB34" s="46">
        <f t="shared" si="105"/>
        <v>0.27862139566626859</v>
      </c>
      <c r="AC34" s="46">
        <f t="shared" si="105"/>
        <v>0.26267593691707647</v>
      </c>
      <c r="AD34" s="46">
        <f t="shared" si="105"/>
        <v>0.2369549150036955</v>
      </c>
      <c r="AE34" s="46">
        <f t="shared" si="105"/>
        <v>0.29066442388561819</v>
      </c>
      <c r="AF34" s="46">
        <f t="shared" si="105"/>
        <v>0.25488733024921656</v>
      </c>
      <c r="AG34" s="46">
        <f t="shared" si="105"/>
        <v>0.24600966466539759</v>
      </c>
      <c r="AH34" s="46">
        <f t="shared" si="105"/>
        <v>0.25296442687747034</v>
      </c>
      <c r="AI34" s="46">
        <f t="shared" si="105"/>
        <v>0.29855797527957623</v>
      </c>
      <c r="AJ34" s="46">
        <f t="shared" si="105"/>
        <v>0.24459673168160254</v>
      </c>
      <c r="AK34" s="46">
        <f t="shared" si="105"/>
        <v>0.2526615498885863</v>
      </c>
      <c r="AL34" s="46">
        <f t="shared" si="105"/>
        <v>0.24428251121076233</v>
      </c>
      <c r="AM34" s="46">
        <f t="shared" si="105"/>
        <v>0.26147492625368729</v>
      </c>
      <c r="AN34" s="46">
        <f t="shared" si="105"/>
        <v>0.28571428571428575</v>
      </c>
      <c r="AO34" s="46">
        <f t="shared" si="105"/>
        <v>0.24041698338581824</v>
      </c>
      <c r="AP34" s="46">
        <f t="shared" si="105"/>
        <v>0.27118967988533205</v>
      </c>
      <c r="AQ34" s="46">
        <f t="shared" si="105"/>
        <v>0.28078463592482278</v>
      </c>
      <c r="AR34" s="46">
        <f t="shared" si="105"/>
        <v>0.25407225407225403</v>
      </c>
      <c r="AS34" s="46">
        <f t="shared" si="105"/>
        <v>0.25172841694734976</v>
      </c>
      <c r="AT34" s="46">
        <f t="shared" si="105"/>
        <v>0.26751193550911795</v>
      </c>
      <c r="AU34" s="46">
        <f t="shared" ref="AU34:BP34" si="106">AU21/AU18</f>
        <v>0.28021828103683494</v>
      </c>
      <c r="AV34" s="46">
        <f t="shared" si="106"/>
        <v>0.32754371552634676</v>
      </c>
      <c r="AW34" s="46">
        <f t="shared" si="106"/>
        <v>0.27734991184930868</v>
      </c>
      <c r="AX34" s="46">
        <f t="shared" si="106"/>
        <v>0.24843879316830936</v>
      </c>
      <c r="AY34" s="46">
        <f t="shared" si="106"/>
        <v>0.25230245337048218</v>
      </c>
      <c r="AZ34" s="46">
        <f t="shared" si="106"/>
        <v>0.23920765027322405</v>
      </c>
      <c r="BA34" s="46">
        <f t="shared" si="106"/>
        <v>0.25888975985177798</v>
      </c>
      <c r="BB34" s="46">
        <f t="shared" si="106"/>
        <v>0.27535951505771583</v>
      </c>
      <c r="BC34" s="46">
        <f t="shared" si="106"/>
        <v>0.26288902332459502</v>
      </c>
      <c r="BD34" s="46">
        <f t="shared" si="106"/>
        <v>0.27488338479731944</v>
      </c>
      <c r="BE34" s="46">
        <f t="shared" si="106"/>
        <v>0.2800179786824194</v>
      </c>
      <c r="BF34" s="46">
        <f t="shared" si="106"/>
        <v>0.29867069486404835</v>
      </c>
      <c r="BG34" s="46">
        <f t="shared" si="106"/>
        <v>0.28328027355264707</v>
      </c>
      <c r="BH34" s="46">
        <f t="shared" si="106"/>
        <v>0.26442280312090666</v>
      </c>
      <c r="BI34" s="46">
        <f t="shared" si="106"/>
        <v>0.25921890233411704</v>
      </c>
      <c r="BJ34" s="46">
        <f t="shared" si="106"/>
        <v>0.29409324275268378</v>
      </c>
      <c r="BK34" s="46">
        <f t="shared" si="106"/>
        <v>0.25997037977361681</v>
      </c>
      <c r="BL34" s="46">
        <f t="shared" si="106"/>
        <v>0.26135628638240704</v>
      </c>
      <c r="BM34" s="46">
        <f t="shared" si="106"/>
        <v>0.2505274520386635</v>
      </c>
      <c r="BN34" s="46">
        <f t="shared" si="106"/>
        <v>0.25382224984462393</v>
      </c>
      <c r="BO34" s="46">
        <f t="shared" si="106"/>
        <v>0.2500221886926422</v>
      </c>
      <c r="BP34" s="46">
        <f t="shared" si="106"/>
        <v>0.23</v>
      </c>
      <c r="BQ34" s="46">
        <f t="shared" ref="BQ34:BR34" si="107">BQ21/BQ18</f>
        <v>0.22893538854724063</v>
      </c>
      <c r="BR34" s="46">
        <f t="shared" si="107"/>
        <v>0.23964146205357145</v>
      </c>
      <c r="BS34" s="46">
        <f t="shared" ref="BS34:BT34" si="108">BS21/BS18</f>
        <v>0.22134401616861554</v>
      </c>
      <c r="BT34" s="46">
        <f t="shared" si="108"/>
        <v>0.21363620647927253</v>
      </c>
      <c r="BU34" s="46">
        <f t="shared" ref="BU34" si="109">BU21/BU18</f>
        <v>0.35536458162495493</v>
      </c>
      <c r="CL34" s="46">
        <f t="shared" ref="CL34:CQ34" si="110">CL21/CL18</f>
        <v>0.27907030102790015</v>
      </c>
      <c r="CM34" s="46">
        <f t="shared" si="110"/>
        <v>0.25682562477014409</v>
      </c>
      <c r="CN34" s="46">
        <f t="shared" si="110"/>
        <v>0.27962778438494423</v>
      </c>
      <c r="CO34" s="46">
        <f t="shared" si="110"/>
        <v>0.27566990918151063</v>
      </c>
      <c r="CP34" s="46">
        <f t="shared" si="110"/>
        <v>0.25622298583589753</v>
      </c>
      <c r="CQ34" s="46">
        <f t="shared" si="110"/>
        <v>0.23696447023289088</v>
      </c>
      <c r="CR34" s="68">
        <v>0.218</v>
      </c>
      <c r="CS34" s="68">
        <v>0.216</v>
      </c>
      <c r="CT34" s="68">
        <v>0.215</v>
      </c>
      <c r="CU34" s="68">
        <v>0.214</v>
      </c>
      <c r="CV34" s="68">
        <v>0.21299999999999999</v>
      </c>
      <c r="CW34" s="68">
        <v>0.21199999999999999</v>
      </c>
      <c r="CX34" s="68">
        <v>0.21099999999999999</v>
      </c>
      <c r="CY34" s="68">
        <v>0.21</v>
      </c>
      <c r="CZ34" s="68">
        <v>0.21</v>
      </c>
      <c r="DA34" s="68">
        <v>0.21</v>
      </c>
    </row>
    <row r="35" spans="2:119">
      <c r="B35" s="37" t="s">
        <v>123</v>
      </c>
      <c r="C35" s="46">
        <f t="shared" ref="C35:AT35" si="111">C22/C18</f>
        <v>0.11305732484076433</v>
      </c>
      <c r="D35" s="46">
        <f t="shared" si="111"/>
        <v>8.9792785878741357E-2</v>
      </c>
      <c r="E35" s="46">
        <f t="shared" si="111"/>
        <v>8.7825776508389852E-2</v>
      </c>
      <c r="F35" s="46">
        <f t="shared" si="111"/>
        <v>7.9851439182915498E-2</v>
      </c>
      <c r="G35" s="46">
        <f t="shared" si="111"/>
        <v>8.5209981740718199E-2</v>
      </c>
      <c r="H35" s="46">
        <f t="shared" si="111"/>
        <v>8.1266039349871685E-2</v>
      </c>
      <c r="I35" s="46">
        <f t="shared" si="111"/>
        <v>7.8106852497096396E-2</v>
      </c>
      <c r="J35" s="46">
        <f t="shared" si="111"/>
        <v>8.3740046236835342E-2</v>
      </c>
      <c r="K35" s="46">
        <f t="shared" si="111"/>
        <v>8.0906982736408131E-2</v>
      </c>
      <c r="L35" s="46">
        <f t="shared" si="111"/>
        <v>7.5170307728447266E-2</v>
      </c>
      <c r="M35" s="46">
        <f t="shared" si="111"/>
        <v>7.9247817327065137E-2</v>
      </c>
      <c r="N35" s="46">
        <f t="shared" si="111"/>
        <v>8.3333333333333329E-2</v>
      </c>
      <c r="O35" s="46">
        <f t="shared" si="111"/>
        <v>7.7544426494345717E-2</v>
      </c>
      <c r="P35" s="46">
        <f t="shared" si="111"/>
        <v>7.4930102516309424E-2</v>
      </c>
      <c r="Q35" s="46">
        <f t="shared" si="111"/>
        <v>9.2413536630717746E-2</v>
      </c>
      <c r="R35" s="46">
        <f t="shared" si="111"/>
        <v>6.8439192516001973E-2</v>
      </c>
      <c r="S35" s="46">
        <f t="shared" si="111"/>
        <v>6.8040562643114172E-2</v>
      </c>
      <c r="T35" s="46">
        <f t="shared" si="111"/>
        <v>7.1218668971477966E-2</v>
      </c>
      <c r="U35" s="46">
        <f t="shared" si="111"/>
        <v>8.6573146292585182E-2</v>
      </c>
      <c r="V35" s="46">
        <f t="shared" si="111"/>
        <v>7.2370704616452619E-2</v>
      </c>
      <c r="W35" s="46">
        <f t="shared" si="111"/>
        <v>9.2532816871099641E-2</v>
      </c>
      <c r="X35" s="46">
        <f t="shared" si="111"/>
        <v>7.8484966809839907E-2</v>
      </c>
      <c r="Y35" s="46">
        <f t="shared" si="111"/>
        <v>8.6347936738774764E-2</v>
      </c>
      <c r="Z35" s="46">
        <f t="shared" si="111"/>
        <v>7.8220605258806003E-2</v>
      </c>
      <c r="AA35" s="46">
        <f t="shared" si="111"/>
        <v>8.3442961849276451E-2</v>
      </c>
      <c r="AB35" s="46">
        <f t="shared" si="111"/>
        <v>8.4285958027640329E-2</v>
      </c>
      <c r="AC35" s="46">
        <f t="shared" si="111"/>
        <v>8.648465321349838E-2</v>
      </c>
      <c r="AD35" s="46">
        <f t="shared" si="111"/>
        <v>7.7753141167775319E-2</v>
      </c>
      <c r="AE35" s="46">
        <f t="shared" si="111"/>
        <v>8.94869638351556E-2</v>
      </c>
      <c r="AF35" s="46">
        <f t="shared" si="111"/>
        <v>8.1629607521265482E-2</v>
      </c>
      <c r="AG35" s="46">
        <f t="shared" si="111"/>
        <v>9.1667886952701713E-2</v>
      </c>
      <c r="AH35" s="46">
        <f t="shared" si="111"/>
        <v>9.1040843214756251E-2</v>
      </c>
      <c r="AI35" s="46">
        <f t="shared" si="111"/>
        <v>0.1081518540317834</v>
      </c>
      <c r="AJ35" s="46">
        <f t="shared" si="111"/>
        <v>0.11149182920400633</v>
      </c>
      <c r="AK35" s="46">
        <f t="shared" si="111"/>
        <v>0.10324337707353307</v>
      </c>
      <c r="AL35" s="46">
        <f t="shared" si="111"/>
        <v>9.7645739910313889E-2</v>
      </c>
      <c r="AM35" s="46">
        <f t="shared" si="111"/>
        <v>0.11268436578171091</v>
      </c>
      <c r="AN35" s="46">
        <f t="shared" si="111"/>
        <v>0.1045859452325965</v>
      </c>
      <c r="AO35" s="46">
        <f t="shared" si="111"/>
        <v>0.1168422195678141</v>
      </c>
      <c r="AP35" s="46">
        <f t="shared" si="111"/>
        <v>0.11457238413760154</v>
      </c>
      <c r="AQ35" s="46">
        <f t="shared" si="111"/>
        <v>0.14788949368388621</v>
      </c>
      <c r="AR35" s="46">
        <f t="shared" si="111"/>
        <v>0.10992810992810992</v>
      </c>
      <c r="AS35" s="46">
        <f t="shared" si="111"/>
        <v>0.12045736571529871</v>
      </c>
      <c r="AT35" s="46">
        <f t="shared" si="111"/>
        <v>0.12256398215543554</v>
      </c>
      <c r="AU35" s="46">
        <f t="shared" ref="AU35:BO35" si="112">AU22/AU18</f>
        <v>0.13378808549340609</v>
      </c>
      <c r="AV35" s="46">
        <f t="shared" si="112"/>
        <v>0.16805539255955873</v>
      </c>
      <c r="AW35" s="46">
        <f t="shared" si="112"/>
        <v>0.14382481209984224</v>
      </c>
      <c r="AX35" s="46">
        <f t="shared" si="112"/>
        <v>0.11270784741554442</v>
      </c>
      <c r="AY35" s="46">
        <f t="shared" si="112"/>
        <v>0.12367463818589894</v>
      </c>
      <c r="AZ35" s="46">
        <f t="shared" si="112"/>
        <v>0.11086065573770493</v>
      </c>
      <c r="BA35" s="46">
        <f t="shared" si="112"/>
        <v>0.11793629302358727</v>
      </c>
      <c r="BB35" s="46">
        <f t="shared" si="112"/>
        <v>0.11826916876249433</v>
      </c>
      <c r="BC35" s="46">
        <f t="shared" si="112"/>
        <v>0.14149358069503259</v>
      </c>
      <c r="BD35" s="46">
        <f t="shared" si="112"/>
        <v>0.13619341698968529</v>
      </c>
      <c r="BE35" s="46">
        <f t="shared" si="112"/>
        <v>0.13939899833055092</v>
      </c>
      <c r="BF35" s="46">
        <f t="shared" si="112"/>
        <v>0.14749244712990933</v>
      </c>
      <c r="BG35" s="46">
        <f t="shared" si="112"/>
        <v>0.14438155877844594</v>
      </c>
      <c r="BH35" s="46">
        <f t="shared" si="112"/>
        <v>0.13918788085881884</v>
      </c>
      <c r="BI35" s="46">
        <f t="shared" si="112"/>
        <v>0.14302919080116991</v>
      </c>
      <c r="BJ35" s="46">
        <f t="shared" si="112"/>
        <v>0.13488565057304355</v>
      </c>
      <c r="BK35" s="46">
        <f t="shared" si="112"/>
        <v>0.15048132867872632</v>
      </c>
      <c r="BL35" s="46">
        <f t="shared" si="112"/>
        <v>0.13936016717249614</v>
      </c>
      <c r="BM35" s="46">
        <f t="shared" si="112"/>
        <v>0.14032677493744175</v>
      </c>
      <c r="BN35" s="46">
        <f t="shared" si="112"/>
        <v>0.1221048270147089</v>
      </c>
      <c r="BO35" s="46">
        <f t="shared" si="112"/>
        <v>0.14032129226945947</v>
      </c>
      <c r="BP35" s="46">
        <f t="shared" ref="BP35:BU35" si="113">BP22/BP18</f>
        <v>0.1284016393442623</v>
      </c>
      <c r="BQ35" s="46">
        <f t="shared" si="113"/>
        <v>0.13141921571759446</v>
      </c>
      <c r="BR35" s="46">
        <f t="shared" si="113"/>
        <v>0.12276785714285715</v>
      </c>
      <c r="BS35" s="46">
        <f t="shared" si="113"/>
        <v>0.13061209758914391</v>
      </c>
      <c r="BT35" s="46">
        <f t="shared" si="113"/>
        <v>0.12813331950350931</v>
      </c>
      <c r="BU35" s="46">
        <f t="shared" si="113"/>
        <v>0.13392593564470104</v>
      </c>
      <c r="CL35" s="46">
        <f t="shared" ref="CL35:CP35" si="114">CL22/CL18</f>
        <v>0.13654093245227608</v>
      </c>
      <c r="CM35" s="46">
        <f t="shared" si="114"/>
        <v>0.11751107686380273</v>
      </c>
      <c r="CN35" s="46">
        <f t="shared" si="114"/>
        <v>0.14126836167272025</v>
      </c>
      <c r="CO35" s="46">
        <f t="shared" si="114"/>
        <v>0.14020016563495738</v>
      </c>
      <c r="CP35" s="46">
        <f t="shared" si="114"/>
        <v>0.1371271895690904</v>
      </c>
      <c r="CQ35" s="46">
        <f t="shared" ref="CQ35" si="115">CQ22/CQ18</f>
        <v>0.13021619903028375</v>
      </c>
      <c r="CR35" s="68">
        <v>0.13</v>
      </c>
      <c r="CS35" s="68">
        <v>0.13200000000000001</v>
      </c>
      <c r="CT35" s="68">
        <v>0.13</v>
      </c>
      <c r="CU35" s="68">
        <v>0.129</v>
      </c>
      <c r="CV35" s="68">
        <v>0.128</v>
      </c>
      <c r="CW35" s="68">
        <v>0.127</v>
      </c>
      <c r="CX35" s="68">
        <v>0.126</v>
      </c>
      <c r="CY35" s="68">
        <v>0.125</v>
      </c>
      <c r="CZ35" s="68">
        <v>0.125</v>
      </c>
      <c r="DA35" s="68">
        <v>0.125</v>
      </c>
    </row>
    <row r="36" spans="2:119">
      <c r="B36" s="37" t="s">
        <v>125</v>
      </c>
      <c r="C36" s="46">
        <f t="shared" ref="C36:AT36" si="116">C23/C18</f>
        <v>0.2388535031847133</v>
      </c>
      <c r="D36" s="46">
        <f t="shared" si="116"/>
        <v>0.3818112049117422</v>
      </c>
      <c r="E36" s="46">
        <f t="shared" si="116"/>
        <v>0.37308104248482693</v>
      </c>
      <c r="F36" s="46">
        <f t="shared" si="116"/>
        <v>0.39740018570102142</v>
      </c>
      <c r="G36" s="46">
        <f t="shared" si="116"/>
        <v>0.39470480827754117</v>
      </c>
      <c r="H36" s="46">
        <f t="shared" si="116"/>
        <v>0.3983461648132306</v>
      </c>
      <c r="I36" s="46">
        <f t="shared" si="116"/>
        <v>0.38356562137049932</v>
      </c>
      <c r="J36" s="46">
        <f t="shared" si="116"/>
        <v>0.39481119958900596</v>
      </c>
      <c r="K36" s="46">
        <f t="shared" si="116"/>
        <v>0.38211801082195312</v>
      </c>
      <c r="L36" s="46">
        <f t="shared" si="116"/>
        <v>0.39487902278599957</v>
      </c>
      <c r="M36" s="46">
        <f t="shared" si="116"/>
        <v>0.40049250055965974</v>
      </c>
      <c r="N36" s="46">
        <f t="shared" si="116"/>
        <v>0.4015700483091787</v>
      </c>
      <c r="O36" s="46">
        <f t="shared" si="116"/>
        <v>0.39034733441033925</v>
      </c>
      <c r="P36" s="46">
        <f t="shared" si="116"/>
        <v>0.41994408201304745</v>
      </c>
      <c r="Q36" s="46">
        <f t="shared" si="116"/>
        <v>0.3930829304574191</v>
      </c>
      <c r="R36" s="46">
        <f t="shared" si="116"/>
        <v>0.4071885770556376</v>
      </c>
      <c r="S36" s="46">
        <f t="shared" si="116"/>
        <v>0.4108603205757278</v>
      </c>
      <c r="T36" s="46">
        <f t="shared" si="116"/>
        <v>0.37770095073465859</v>
      </c>
      <c r="U36" s="46">
        <f t="shared" si="116"/>
        <v>0.34909819639278555</v>
      </c>
      <c r="V36" s="46">
        <f t="shared" si="116"/>
        <v>0.36202707393266237</v>
      </c>
      <c r="W36" s="46">
        <f t="shared" si="116"/>
        <v>0.121799010114052</v>
      </c>
      <c r="X36" s="46">
        <f t="shared" si="116"/>
        <v>0.27918781725888331</v>
      </c>
      <c r="Y36" s="46">
        <f t="shared" si="116"/>
        <v>0.28922014179240141</v>
      </c>
      <c r="Z36" s="46">
        <f t="shared" si="116"/>
        <v>0.30775591202249053</v>
      </c>
      <c r="AA36" s="46">
        <f t="shared" si="116"/>
        <v>0.24506671678255967</v>
      </c>
      <c r="AB36" s="46">
        <f t="shared" si="116"/>
        <v>0.29653642723084794</v>
      </c>
      <c r="AC36" s="46">
        <f t="shared" si="116"/>
        <v>0.32202814990673234</v>
      </c>
      <c r="AD36" s="46">
        <f t="shared" si="116"/>
        <v>0.36348854397634889</v>
      </c>
      <c r="AE36" s="46">
        <f t="shared" si="116"/>
        <v>0.30109335576114382</v>
      </c>
      <c r="AF36" s="46">
        <f t="shared" si="116"/>
        <v>0.36621399791075965</v>
      </c>
      <c r="AG36" s="46">
        <f t="shared" si="116"/>
        <v>0.37545760726314248</v>
      </c>
      <c r="AH36" s="46">
        <f t="shared" si="116"/>
        <v>0.35428194993412382</v>
      </c>
      <c r="AI36" s="46">
        <f t="shared" si="116"/>
        <v>0.28457916421424373</v>
      </c>
      <c r="AJ36" s="46">
        <f t="shared" si="116"/>
        <v>0.34251449657353705</v>
      </c>
      <c r="AK36" s="46">
        <f t="shared" si="116"/>
        <v>0.3473632087150284</v>
      </c>
      <c r="AL36" s="46">
        <f t="shared" si="116"/>
        <v>0.3688340807174888</v>
      </c>
      <c r="AM36" s="46">
        <f t="shared" si="116"/>
        <v>0.3264896755162241</v>
      </c>
      <c r="AN36" s="46">
        <f t="shared" si="116"/>
        <v>0.3050698339381942</v>
      </c>
      <c r="AO36" s="46">
        <f t="shared" si="116"/>
        <v>0.34021066348137685</v>
      </c>
      <c r="AP36" s="46">
        <f t="shared" si="116"/>
        <v>0.31724796942188249</v>
      </c>
      <c r="AQ36" s="46">
        <f t="shared" si="116"/>
        <v>0.25901201602136187</v>
      </c>
      <c r="AR36" s="46">
        <f t="shared" si="116"/>
        <v>0.32669032669032677</v>
      </c>
      <c r="AS36" s="46">
        <f t="shared" si="116"/>
        <v>0.32414465520297825</v>
      </c>
      <c r="AT36" s="46">
        <f t="shared" si="116"/>
        <v>0.3111841590357674</v>
      </c>
      <c r="AU36" s="46">
        <f t="shared" ref="AU36:BP36" si="117">AU23/AU18</f>
        <v>0.25738972260118237</v>
      </c>
      <c r="AV36" s="46">
        <f t="shared" si="117"/>
        <v>9.4589836873606281E-2</v>
      </c>
      <c r="AW36" s="46">
        <f t="shared" si="117"/>
        <v>0.25090470446320878</v>
      </c>
      <c r="AX36" s="46">
        <f t="shared" si="117"/>
        <v>0.31284327740576329</v>
      </c>
      <c r="AY36" s="46">
        <f t="shared" si="117"/>
        <v>0.32257565203931576</v>
      </c>
      <c r="AZ36" s="46">
        <f t="shared" si="117"/>
        <v>0.3491803278688525</v>
      </c>
      <c r="BA36" s="46">
        <f t="shared" si="117"/>
        <v>0.31539941566307989</v>
      </c>
      <c r="BB36" s="46">
        <f t="shared" si="117"/>
        <v>0.29044947443090224</v>
      </c>
      <c r="BC36" s="46">
        <f t="shared" si="117"/>
        <v>0.27431605834509648</v>
      </c>
      <c r="BD36" s="46">
        <f t="shared" si="117"/>
        <v>0.26121805400433618</v>
      </c>
      <c r="BE36" s="46">
        <f t="shared" si="117"/>
        <v>0.25613201489662263</v>
      </c>
      <c r="BF36" s="46">
        <f t="shared" si="117"/>
        <v>0.22507552870090636</v>
      </c>
      <c r="BG36" s="46">
        <f t="shared" si="117"/>
        <v>0.22851078882207287</v>
      </c>
      <c r="BH36" s="46">
        <f t="shared" si="117"/>
        <v>0.26379634375533917</v>
      </c>
      <c r="BI36" s="46">
        <f t="shared" si="117"/>
        <v>0.26713310775936239</v>
      </c>
      <c r="BJ36" s="46">
        <f t="shared" si="117"/>
        <v>0.23346989576310753</v>
      </c>
      <c r="BK36" s="46">
        <f t="shared" si="117"/>
        <v>0.24828096900454885</v>
      </c>
      <c r="BL36" s="46">
        <f t="shared" si="117"/>
        <v>0.28225284840041798</v>
      </c>
      <c r="BM36" s="46">
        <f t="shared" si="117"/>
        <v>0.28325401108875908</v>
      </c>
      <c r="BN36" s="46">
        <f t="shared" si="117"/>
        <v>0.30449554588771505</v>
      </c>
      <c r="BO36" s="46">
        <f t="shared" si="117"/>
        <v>0.25654566432945775</v>
      </c>
      <c r="BP36" s="46">
        <f t="shared" si="117"/>
        <v>0.30467213114754105</v>
      </c>
      <c r="BQ36" s="46">
        <f t="shared" ref="BQ36:BR36" si="118">BQ23/BQ18</f>
        <v>0.30313074035620152</v>
      </c>
      <c r="BR36" s="46">
        <f t="shared" si="118"/>
        <v>0.30210658482142855</v>
      </c>
      <c r="BS36" s="46">
        <f t="shared" ref="BS36:BT36" si="119">BS23/BS18</f>
        <v>0.30868341273278482</v>
      </c>
      <c r="BT36" s="46">
        <f t="shared" si="119"/>
        <v>0.33603014901635375</v>
      </c>
      <c r="BU36" s="46">
        <f t="shared" ref="BU36" si="120">BU23/BU18</f>
        <v>0.19437793157739355</v>
      </c>
      <c r="CL36" s="46">
        <f t="shared" ref="CL36:CR36" si="121">CL23/CL18</f>
        <v>0.24086820851688695</v>
      </c>
      <c r="CM36" s="46">
        <f t="shared" si="121"/>
        <v>0.31890860054990278</v>
      </c>
      <c r="CN36" s="46">
        <f t="shared" si="121"/>
        <v>0.25346340522644728</v>
      </c>
      <c r="CO36" s="46">
        <f t="shared" si="121"/>
        <v>0.24800325655170483</v>
      </c>
      <c r="CP36" s="46">
        <f t="shared" si="121"/>
        <v>0.28123465954670085</v>
      </c>
      <c r="CQ36" s="46">
        <f t="shared" ref="CQ36" si="122">CQ23/CQ18</f>
        <v>0.29278276766552735</v>
      </c>
      <c r="CR36" s="68">
        <f t="shared" si="121"/>
        <v>0.32300000000000006</v>
      </c>
      <c r="CS36" s="68">
        <f t="shared" ref="CS36:DA36" si="123">CS23/CS18</f>
        <v>0.32</v>
      </c>
      <c r="CT36" s="68">
        <f t="shared" si="123"/>
        <v>0.32500000000000007</v>
      </c>
      <c r="CU36" s="68">
        <f t="shared" si="123"/>
        <v>0.32800000000000001</v>
      </c>
      <c r="CV36" s="68">
        <f t="shared" si="123"/>
        <v>0.33100000000000007</v>
      </c>
      <c r="CW36" s="68">
        <f t="shared" si="123"/>
        <v>0.33500000000000002</v>
      </c>
      <c r="CX36" s="68">
        <f t="shared" si="123"/>
        <v>0.33800000000000002</v>
      </c>
      <c r="CY36" s="68">
        <f t="shared" si="123"/>
        <v>0.34000000000000008</v>
      </c>
      <c r="CZ36" s="68">
        <f t="shared" si="123"/>
        <v>0.34000000000000008</v>
      </c>
      <c r="DA36" s="68">
        <f t="shared" si="123"/>
        <v>0.34000000000000014</v>
      </c>
    </row>
    <row r="37" spans="2:119">
      <c r="B37" s="37" t="s">
        <v>126</v>
      </c>
      <c r="C37" s="46">
        <f t="shared" ref="C37:AT37" si="124">C26/C25</f>
        <v>0.43800000000000011</v>
      </c>
      <c r="D37" s="46">
        <f t="shared" si="124"/>
        <v>0.40401146131805143</v>
      </c>
      <c r="E37" s="46">
        <f t="shared" si="124"/>
        <v>0.40716911764705871</v>
      </c>
      <c r="F37" s="46">
        <f t="shared" si="124"/>
        <v>0.41478129713423822</v>
      </c>
      <c r="G37" s="46">
        <f t="shared" si="124"/>
        <v>0.3624813153961135</v>
      </c>
      <c r="H37" s="46">
        <f t="shared" si="124"/>
        <v>0.38488210818307916</v>
      </c>
      <c r="I37" s="46">
        <f t="shared" si="124"/>
        <v>0.36834427425237065</v>
      </c>
      <c r="J37" s="46">
        <f t="shared" si="124"/>
        <v>0.22900763358778622</v>
      </c>
      <c r="K37" s="46">
        <f t="shared" si="124"/>
        <v>0.32226562499999994</v>
      </c>
      <c r="L37" s="46">
        <f t="shared" si="124"/>
        <v>0.31823461091753769</v>
      </c>
      <c r="M37" s="46">
        <f t="shared" si="124"/>
        <v>0.32300884955752207</v>
      </c>
      <c r="N37" s="46">
        <f t="shared" si="124"/>
        <v>0.25553914327917288</v>
      </c>
      <c r="O37" s="46">
        <f t="shared" si="124"/>
        <v>0.27194317605276513</v>
      </c>
      <c r="P37" s="46">
        <f t="shared" si="124"/>
        <v>0.32446576537287403</v>
      </c>
      <c r="Q37" s="46">
        <f t="shared" si="124"/>
        <v>0.1502086230876217</v>
      </c>
      <c r="R37" s="46">
        <f t="shared" si="124"/>
        <v>0.30540111199364584</v>
      </c>
      <c r="S37" s="46">
        <f t="shared" si="124"/>
        <v>0.26066536203522506</v>
      </c>
      <c r="T37" s="46">
        <f t="shared" si="124"/>
        <v>0.28590664272890487</v>
      </c>
      <c r="U37" s="46">
        <f t="shared" si="124"/>
        <v>0.11959573273441887</v>
      </c>
      <c r="V37" s="46">
        <f t="shared" si="124"/>
        <v>0.22517482517482507</v>
      </c>
      <c r="W37" s="46">
        <f t="shared" si="124"/>
        <v>0.26776859504132244</v>
      </c>
      <c r="X37" s="46">
        <f t="shared" si="124"/>
        <v>0.27068723702664788</v>
      </c>
      <c r="Y37" s="46">
        <f t="shared" si="124"/>
        <v>0.2321539416511483</v>
      </c>
      <c r="Z37" s="46">
        <f t="shared" si="124"/>
        <v>0.2056277056277056</v>
      </c>
      <c r="AA37" s="46">
        <f t="shared" si="124"/>
        <v>0.27988121752041573</v>
      </c>
      <c r="AB37" s="46">
        <f t="shared" si="124"/>
        <v>0.24607623318385652</v>
      </c>
      <c r="AC37" s="46">
        <f t="shared" si="124"/>
        <v>0.13584710743801651</v>
      </c>
      <c r="AD37" s="46">
        <f t="shared" si="124"/>
        <v>0.24543288324066717</v>
      </c>
      <c r="AE37" s="46">
        <f t="shared" si="124"/>
        <v>0.26070460704607046</v>
      </c>
      <c r="AF37" s="46">
        <f t="shared" si="124"/>
        <v>0.27190213101815308</v>
      </c>
      <c r="AG37" s="46">
        <f t="shared" si="124"/>
        <v>0.20914542728635685</v>
      </c>
      <c r="AH37" s="46">
        <f t="shared" si="124"/>
        <v>0.26443335709194588</v>
      </c>
      <c r="AI37" s="46">
        <f t="shared" si="124"/>
        <v>0.10539336961900049</v>
      </c>
      <c r="AJ37" s="46">
        <f t="shared" si="124"/>
        <v>0.1740740740740741</v>
      </c>
      <c r="AK37" s="46">
        <f t="shared" si="124"/>
        <v>-2.4708304735758416E-2</v>
      </c>
      <c r="AL37" s="46">
        <f t="shared" si="124"/>
        <v>1.0922941693524759</v>
      </c>
      <c r="AM37" s="46">
        <f t="shared" si="124"/>
        <v>8.9686098654708554E-3</v>
      </c>
      <c r="AN37" s="46">
        <f t="shared" si="124"/>
        <v>0.13870094722598106</v>
      </c>
      <c r="AO37" s="46">
        <f t="shared" si="124"/>
        <v>0.1294749403341289</v>
      </c>
      <c r="AP37" s="46">
        <f t="shared" si="124"/>
        <v>0.18812709030100333</v>
      </c>
      <c r="AQ37" s="46">
        <f t="shared" si="124"/>
        <v>-8.6878798712906671E-2</v>
      </c>
      <c r="AR37" s="46">
        <f t="shared" si="124"/>
        <v>0.19244512506380801</v>
      </c>
      <c r="AS37" s="46">
        <f t="shared" si="124"/>
        <v>7.5187969924812013E-4</v>
      </c>
      <c r="AT37" s="46">
        <f t="shared" si="124"/>
        <v>0.1598332175121612</v>
      </c>
      <c r="AU37" s="46">
        <f t="shared" ref="AU37:BP37" si="125">AU26/AU25</f>
        <v>-2.5974025974025976E-2</v>
      </c>
      <c r="AV37" s="46">
        <f t="shared" si="125"/>
        <v>0.34514925373134359</v>
      </c>
      <c r="AW37" s="46">
        <f t="shared" si="125"/>
        <v>0.10810810810810807</v>
      </c>
      <c r="AX37" s="46">
        <f t="shared" si="125"/>
        <v>0.1667430142006413</v>
      </c>
      <c r="AY37" s="46">
        <f t="shared" si="125"/>
        <v>3.0303030303030311E-2</v>
      </c>
      <c r="AZ37" s="46">
        <f t="shared" si="125"/>
        <v>6.081337894336754E-3</v>
      </c>
      <c r="BA37" s="46">
        <f t="shared" si="125"/>
        <v>0.16026892214270225</v>
      </c>
      <c r="BB37" s="46">
        <f t="shared" si="125"/>
        <v>0.15741963892558333</v>
      </c>
      <c r="BC37" s="46">
        <f t="shared" si="125"/>
        <v>8.2007952286282298E-2</v>
      </c>
      <c r="BD37" s="46">
        <f t="shared" si="125"/>
        <v>0.22929466699434742</v>
      </c>
      <c r="BE37" s="46">
        <f t="shared" si="125"/>
        <v>0.19389275074478646</v>
      </c>
      <c r="BF37" s="46">
        <f t="shared" si="125"/>
        <v>0.14694704839118314</v>
      </c>
      <c r="BG37" s="46">
        <f t="shared" si="125"/>
        <v>0.14461830251303937</v>
      </c>
      <c r="BH37" s="46">
        <f t="shared" si="125"/>
        <v>0.14663461538461536</v>
      </c>
      <c r="BI37" s="46">
        <f t="shared" si="125"/>
        <v>0.19578544061302669</v>
      </c>
      <c r="BJ37" s="46">
        <f t="shared" si="125"/>
        <v>-0.18375654196549704</v>
      </c>
      <c r="BK37" s="46">
        <f t="shared" si="125"/>
        <v>-1.652739090064995E-2</v>
      </c>
      <c r="BL37" s="46">
        <f t="shared" si="125"/>
        <v>0.18792971734148201</v>
      </c>
      <c r="BM37" s="46">
        <f t="shared" si="125"/>
        <v>0.14962742175856933</v>
      </c>
      <c r="BN37" s="46">
        <f t="shared" si="125"/>
        <v>0.15040750802667324</v>
      </c>
      <c r="BO37" s="46">
        <f t="shared" si="125"/>
        <v>-5.2655198204936422E-2</v>
      </c>
      <c r="BP37" s="46">
        <f t="shared" si="125"/>
        <v>0.20177863237591634</v>
      </c>
      <c r="BQ37" s="46">
        <f t="shared" ref="BQ37:BR37" si="126">BQ26/BQ25</f>
        <v>0.17084015913877842</v>
      </c>
      <c r="BR37" s="46">
        <f t="shared" si="126"/>
        <v>0.16297534475553702</v>
      </c>
      <c r="BS37" s="46">
        <f t="shared" ref="BS37:BT37" si="127">BS26/BS25</f>
        <v>0.1216503615482773</v>
      </c>
      <c r="BT37" s="46">
        <f t="shared" si="127"/>
        <v>0.21941968518869712</v>
      </c>
      <c r="BU37" s="46">
        <f t="shared" ref="BU37" si="128">BU26/BU25</f>
        <v>0.21543985637342919</v>
      </c>
      <c r="CL37" s="46">
        <f t="shared" ref="CL37:CQ37" si="129">CL26/CL25</f>
        <v>0.11615575807787903</v>
      </c>
      <c r="CM37" s="46">
        <f t="shared" si="129"/>
        <v>8.5806485743003744E-2</v>
      </c>
      <c r="CN37" s="46">
        <f t="shared" si="129"/>
        <v>0.16330594971371665</v>
      </c>
      <c r="CO37" s="46">
        <f t="shared" si="129"/>
        <v>7.2285466333146128E-2</v>
      </c>
      <c r="CP37" s="46">
        <f t="shared" si="129"/>
        <v>0.12577604906874112</v>
      </c>
      <c r="CQ37" s="46">
        <f t="shared" si="129"/>
        <v>0.13123415046491968</v>
      </c>
      <c r="CR37" s="68">
        <v>0.155</v>
      </c>
      <c r="CS37" s="68">
        <v>0.16</v>
      </c>
      <c r="CT37" s="68">
        <v>0.17</v>
      </c>
      <c r="CU37" s="68">
        <v>0.17499999999999999</v>
      </c>
      <c r="CV37" s="68">
        <v>0.18</v>
      </c>
      <c r="CW37" s="68">
        <v>0.18</v>
      </c>
      <c r="CX37" s="68">
        <v>0.18</v>
      </c>
      <c r="CY37" s="68">
        <v>0.18</v>
      </c>
      <c r="CZ37" s="68">
        <v>0.18</v>
      </c>
      <c r="DA37" s="68">
        <v>0.18</v>
      </c>
    </row>
    <row r="38" spans="2:119">
      <c r="B38" s="37" t="s">
        <v>127</v>
      </c>
      <c r="C38" s="46">
        <f t="shared" ref="C38:AT38" si="130">C27/C18</f>
        <v>0.14915074309978762</v>
      </c>
      <c r="D38" s="46">
        <f t="shared" si="130"/>
        <v>0.23944742900997709</v>
      </c>
      <c r="E38" s="46">
        <f t="shared" si="130"/>
        <v>0.23027490182077837</v>
      </c>
      <c r="F38" s="46">
        <f t="shared" si="130"/>
        <v>0.2401733209532653</v>
      </c>
      <c r="G38" s="46">
        <f t="shared" si="130"/>
        <v>0.25958612294583089</v>
      </c>
      <c r="H38" s="46">
        <f t="shared" si="130"/>
        <v>0.25292272597661808</v>
      </c>
      <c r="I38" s="46">
        <f t="shared" si="130"/>
        <v>0.25145180023228797</v>
      </c>
      <c r="J38" s="46">
        <f t="shared" si="130"/>
        <v>0.31132802465964554</v>
      </c>
      <c r="K38" s="46">
        <f t="shared" si="130"/>
        <v>0.26822983767070346</v>
      </c>
      <c r="L38" s="46">
        <f t="shared" si="130"/>
        <v>0.27578106647874095</v>
      </c>
      <c r="M38" s="46">
        <f t="shared" si="130"/>
        <v>0.2740094022834117</v>
      </c>
      <c r="N38" s="46">
        <f t="shared" si="130"/>
        <v>0.30434782608695643</v>
      </c>
      <c r="O38" s="46">
        <f t="shared" si="130"/>
        <v>0.28978190630048467</v>
      </c>
      <c r="P38" s="46">
        <f t="shared" si="130"/>
        <v>0.28872320596458517</v>
      </c>
      <c r="Q38" s="46">
        <f t="shared" si="130"/>
        <v>0.34083302342878391</v>
      </c>
      <c r="R38" s="46">
        <f t="shared" si="130"/>
        <v>0.28705071393402259</v>
      </c>
      <c r="S38" s="46">
        <f t="shared" si="130"/>
        <v>0.30896303565587174</v>
      </c>
      <c r="T38" s="46">
        <f t="shared" si="130"/>
        <v>0.27502160760587729</v>
      </c>
      <c r="U38" s="46">
        <f t="shared" si="130"/>
        <v>0.31422845691382761</v>
      </c>
      <c r="V38" s="46">
        <f t="shared" si="130"/>
        <v>0.28844151336341561</v>
      </c>
      <c r="W38" s="46">
        <f t="shared" si="130"/>
        <v>9.5330320636970028E-2</v>
      </c>
      <c r="X38" s="46">
        <f t="shared" si="130"/>
        <v>0.2030456852791879</v>
      </c>
      <c r="Y38" s="46">
        <f t="shared" si="130"/>
        <v>0.22486820578076716</v>
      </c>
      <c r="Z38" s="46">
        <f t="shared" si="130"/>
        <v>0.24276500744170662</v>
      </c>
      <c r="AA38" s="46">
        <f t="shared" si="130"/>
        <v>0.18229656079684273</v>
      </c>
      <c r="AB38" s="46">
        <f t="shared" si="130"/>
        <v>0.22948302337485066</v>
      </c>
      <c r="AC38" s="46">
        <f t="shared" si="130"/>
        <v>0.28370357809055458</v>
      </c>
      <c r="AD38" s="46">
        <f t="shared" si="130"/>
        <v>0.28085735402808576</v>
      </c>
      <c r="AE38" s="46">
        <f t="shared" si="130"/>
        <v>0.22943650126156434</v>
      </c>
      <c r="AF38" s="46">
        <f t="shared" si="130"/>
        <v>0.27533203999403077</v>
      </c>
      <c r="AG38" s="46">
        <f t="shared" si="130"/>
        <v>0.30897642407380282</v>
      </c>
      <c r="AH38" s="46">
        <f t="shared" si="130"/>
        <v>0.27193675889328062</v>
      </c>
      <c r="AI38" s="46">
        <f t="shared" si="130"/>
        <v>0.26603884638022368</v>
      </c>
      <c r="AJ38" s="46">
        <f t="shared" si="130"/>
        <v>0.29388508170795991</v>
      </c>
      <c r="AK38" s="46">
        <f t="shared" si="130"/>
        <v>0.36964595196830891</v>
      </c>
      <c r="AL38" s="46">
        <f t="shared" si="130"/>
        <v>-3.5313901345291478E-2</v>
      </c>
      <c r="AM38" s="46">
        <f t="shared" si="130"/>
        <v>0.33899705014749248</v>
      </c>
      <c r="AN38" s="46">
        <f t="shared" si="130"/>
        <v>0.27999560101176729</v>
      </c>
      <c r="AO38" s="46">
        <f t="shared" si="130"/>
        <v>0.31686393745249208</v>
      </c>
      <c r="AP38" s="46">
        <f t="shared" si="130"/>
        <v>0.27835642618251316</v>
      </c>
      <c r="AQ38" s="46">
        <f t="shared" si="130"/>
        <v>0.31221115333264871</v>
      </c>
      <c r="AR38" s="46">
        <f t="shared" si="130"/>
        <v>0.28792428792428798</v>
      </c>
      <c r="AS38" s="46">
        <f t="shared" si="130"/>
        <v>0.35339478815812803</v>
      </c>
      <c r="AT38" s="46">
        <f t="shared" si="130"/>
        <v>0.28386945292322147</v>
      </c>
      <c r="AU38" s="46">
        <f t="shared" ref="AU38:BP38" si="131">AU27/AU18</f>
        <v>0.28740336516598453</v>
      </c>
      <c r="AV38" s="46">
        <f t="shared" si="131"/>
        <v>8.2384696631850621E-2</v>
      </c>
      <c r="AW38" s="46">
        <f t="shared" si="131"/>
        <v>0.29395935789180672</v>
      </c>
      <c r="AX38" s="46">
        <f t="shared" si="131"/>
        <v>0.27371905800917912</v>
      </c>
      <c r="AY38" s="46">
        <f t="shared" si="131"/>
        <v>0.33681603591053316</v>
      </c>
      <c r="AZ38" s="46">
        <f t="shared" si="131"/>
        <v>0.35724043715846993</v>
      </c>
      <c r="BA38" s="46">
        <f t="shared" si="131"/>
        <v>0.27592104325518424</v>
      </c>
      <c r="BB38" s="46">
        <f t="shared" si="131"/>
        <v>0.24679177145805131</v>
      </c>
      <c r="BC38" s="46">
        <f t="shared" si="131"/>
        <v>0.24830274921019024</v>
      </c>
      <c r="BD38" s="46">
        <f t="shared" si="131"/>
        <v>0.20603114118651869</v>
      </c>
      <c r="BE38" s="46">
        <f t="shared" si="131"/>
        <v>0.20848850648516759</v>
      </c>
      <c r="BF38" s="46">
        <f t="shared" si="131"/>
        <v>0.20344410876132932</v>
      </c>
      <c r="BG38" s="46">
        <f t="shared" si="131"/>
        <v>0.21271076523994811</v>
      </c>
      <c r="BH38" s="46">
        <f t="shared" si="131"/>
        <v>0.24261062702887409</v>
      </c>
      <c r="BI38" s="46">
        <f t="shared" si="131"/>
        <v>0.24075242300854521</v>
      </c>
      <c r="BJ38" s="46">
        <f t="shared" si="131"/>
        <v>0.31670383239122557</v>
      </c>
      <c r="BK38" s="46">
        <f t="shared" si="131"/>
        <v>0.28953771289537716</v>
      </c>
      <c r="BL38" s="46">
        <f t="shared" si="131"/>
        <v>0.26444101696601824</v>
      </c>
      <c r="BM38" s="46">
        <f t="shared" si="131"/>
        <v>0.27996663559197288</v>
      </c>
      <c r="BN38" s="46">
        <f t="shared" si="131"/>
        <v>0.28506318624404403</v>
      </c>
      <c r="BO38" s="46">
        <f t="shared" si="131"/>
        <v>0.31228366024673831</v>
      </c>
      <c r="BP38" s="46">
        <f t="shared" si="131"/>
        <v>0.27221311475409843</v>
      </c>
      <c r="BQ38" s="46">
        <f t="shared" ref="BQ38:BR38" si="132">BQ27/BQ18</f>
        <v>0.28296461943934187</v>
      </c>
      <c r="BR38" s="46">
        <f t="shared" si="132"/>
        <v>0.2794363839285714</v>
      </c>
      <c r="BS38" s="46">
        <f t="shared" ref="BS38:BT38" si="133">BS27/BS18</f>
        <v>0.29810884942976767</v>
      </c>
      <c r="BT38" s="46">
        <f t="shared" si="133"/>
        <v>0.28461777823877193</v>
      </c>
      <c r="BU38" s="46">
        <f t="shared" ref="BU38" si="134">BU27/BU18</f>
        <v>0.17200774100436242</v>
      </c>
      <c r="CL38" s="46">
        <f t="shared" ref="CL38:CR38" si="135">CL27/CL18</f>
        <v>0.24476872246696035</v>
      </c>
      <c r="CM38" s="46">
        <f t="shared" si="135"/>
        <v>0.30263918320169525</v>
      </c>
      <c r="CN38" s="46">
        <f t="shared" si="135"/>
        <v>0.21606505737520493</v>
      </c>
      <c r="CO38" s="46">
        <f t="shared" si="135"/>
        <v>0.25509187125391281</v>
      </c>
      <c r="CP38" s="46">
        <f t="shared" si="135"/>
        <v>0.27986973336047222</v>
      </c>
      <c r="CQ38" s="46">
        <f t="shared" ref="CQ38" si="136">CQ27/CQ18</f>
        <v>0.28591725617995389</v>
      </c>
      <c r="CR38" s="68">
        <f t="shared" si="135"/>
        <v>0.33728363289418589</v>
      </c>
      <c r="CS38" s="68">
        <f t="shared" ref="CS38:DA38" si="137">CS27/CS18</f>
        <v>0.39199562352325812</v>
      </c>
      <c r="CT38" s="68">
        <f t="shared" si="137"/>
        <v>0.45509939228424451</v>
      </c>
      <c r="CU38" s="68">
        <f t="shared" si="137"/>
        <v>0.52333810275480031</v>
      </c>
      <c r="CV38" s="68">
        <f t="shared" si="137"/>
        <v>0.59854522942558752</v>
      </c>
      <c r="CW38" s="68">
        <f t="shared" si="137"/>
        <v>0.68719414259697875</v>
      </c>
      <c r="CX38" s="68">
        <f t="shared" si="137"/>
        <v>0.79094347916395735</v>
      </c>
      <c r="CY38" s="68">
        <f t="shared" si="137"/>
        <v>0.91482601402110364</v>
      </c>
      <c r="CZ38" s="68">
        <f t="shared" si="137"/>
        <v>1.0621615502444002</v>
      </c>
      <c r="DA38" s="68">
        <f t="shared" si="137"/>
        <v>1.2366860582771098</v>
      </c>
    </row>
    <row r="39" spans="2:119">
      <c r="BP39" s="1"/>
      <c r="BQ39" s="1"/>
    </row>
    <row r="40" spans="2:119">
      <c r="B40" s="1" t="s">
        <v>128</v>
      </c>
      <c r="AU40" s="45"/>
      <c r="AV40" s="45"/>
      <c r="AW40" s="45"/>
      <c r="AX40" s="45"/>
      <c r="AY40" s="45">
        <v>1401.8</v>
      </c>
      <c r="AZ40" s="45">
        <v>1615.5</v>
      </c>
      <c r="BA40" s="45">
        <v>1346.7</v>
      </c>
      <c r="BB40" s="45">
        <v>1290.9000000000001</v>
      </c>
      <c r="BC40" s="45">
        <v>1103.0999999999999</v>
      </c>
      <c r="BD40" s="45">
        <v>1536.1</v>
      </c>
      <c r="BE40" s="45">
        <v>1538</v>
      </c>
      <c r="BF40" s="45">
        <v>1581.2</v>
      </c>
      <c r="BG40" s="45">
        <v>2143</v>
      </c>
      <c r="BH40" s="45">
        <v>3435.4</v>
      </c>
      <c r="BI40" s="45">
        <v>3602</v>
      </c>
      <c r="BJ40" s="45">
        <v>2750.1</v>
      </c>
      <c r="BK40" s="45">
        <v>2839.5</v>
      </c>
      <c r="BL40" s="45">
        <v>3036.7</v>
      </c>
      <c r="BM40" s="45">
        <v>2413.3000000000002</v>
      </c>
      <c r="BN40" s="45">
        <v>2027.4</v>
      </c>
      <c r="BO40" s="45">
        <v>2573.8000000000002</v>
      </c>
      <c r="BP40" s="45">
        <v>3403.1</v>
      </c>
      <c r="BQ40" s="45">
        <v>2806.6</v>
      </c>
      <c r="BR40" s="45">
        <v>3368</v>
      </c>
      <c r="BS40" s="45">
        <v>2006.5</v>
      </c>
      <c r="BT40" s="45">
        <v>2760.4</v>
      </c>
      <c r="BU40" s="45">
        <v>2978.1</v>
      </c>
      <c r="CM40" s="45">
        <f t="shared" ref="CM40:CM49" si="138">BB40</f>
        <v>1290.9000000000001</v>
      </c>
      <c r="CN40" s="45">
        <f t="shared" ref="CN40:CN49" si="139">BF40</f>
        <v>1581.2</v>
      </c>
      <c r="CO40" s="45">
        <f t="shared" ref="CO40:CO49" si="140">BJ40</f>
        <v>2750.1</v>
      </c>
      <c r="CP40" s="45">
        <f t="shared" ref="CP40:CP49" si="141">BN40</f>
        <v>2027.4</v>
      </c>
      <c r="CQ40" s="45">
        <f t="shared" ref="CQ40:CQ49" si="142">BR40</f>
        <v>3368</v>
      </c>
      <c r="CR40" s="70">
        <f>CQ40+CR27</f>
        <v>7388.161532985001</v>
      </c>
      <c r="CS40" s="70">
        <f t="shared" ref="CS40:DA40" si="143">CR40+CS27</f>
        <v>12709.983920214147</v>
      </c>
      <c r="CT40" s="70">
        <f t="shared" si="143"/>
        <v>19690.651416755849</v>
      </c>
      <c r="CU40" s="70">
        <f t="shared" si="143"/>
        <v>28755.998502601062</v>
      </c>
      <c r="CV40" s="70">
        <f t="shared" si="143"/>
        <v>40383.435840238089</v>
      </c>
      <c r="CW40" s="70">
        <f t="shared" si="143"/>
        <v>55250.922282999891</v>
      </c>
      <c r="CX40" s="70">
        <f t="shared" si="143"/>
        <v>74047.443031978793</v>
      </c>
      <c r="CY40" s="70">
        <f t="shared" si="143"/>
        <v>97584.18330124882</v>
      </c>
      <c r="CZ40" s="70">
        <f t="shared" si="143"/>
        <v>126824.38597625059</v>
      </c>
      <c r="DA40" s="70">
        <f t="shared" si="143"/>
        <v>163008.75490822224</v>
      </c>
    </row>
    <row r="41" spans="2:119">
      <c r="B41" s="1" t="s">
        <v>129</v>
      </c>
      <c r="AU41" s="45"/>
      <c r="AV41" s="45"/>
      <c r="AW41" s="45"/>
      <c r="AX41" s="45"/>
      <c r="AY41" s="45">
        <v>3155.7</v>
      </c>
      <c r="AZ41" s="45">
        <v>2823.7</v>
      </c>
      <c r="BA41" s="45">
        <v>2741.5</v>
      </c>
      <c r="BB41" s="45">
        <v>2913</v>
      </c>
      <c r="BC41" s="45">
        <v>2882.5</v>
      </c>
      <c r="BD41" s="45">
        <v>2901.3</v>
      </c>
      <c r="BE41" s="45">
        <v>2775.9</v>
      </c>
      <c r="BF41" s="45">
        <v>2536.6999999999998</v>
      </c>
      <c r="BG41" s="45">
        <v>2549.1999999999998</v>
      </c>
      <c r="BH41" s="45">
        <v>2363.8000000000002</v>
      </c>
      <c r="BI41" s="45">
        <v>2873.7</v>
      </c>
      <c r="BJ41" s="45">
        <v>2473.1</v>
      </c>
      <c r="BK41" s="45">
        <v>1960.6</v>
      </c>
      <c r="BL41" s="45">
        <v>1720.5</v>
      </c>
      <c r="BM41" s="45">
        <v>1818.4</v>
      </c>
      <c r="BN41" s="45">
        <v>1985.9</v>
      </c>
      <c r="BO41" s="45">
        <v>1937.5</v>
      </c>
      <c r="BP41" s="45">
        <v>1923.4</v>
      </c>
      <c r="BQ41" s="45">
        <v>2102.1999999999998</v>
      </c>
      <c r="BR41" s="45">
        <v>2566.9</v>
      </c>
      <c r="BS41" s="45">
        <v>2510.8000000000002</v>
      </c>
      <c r="BT41" s="45">
        <v>2455.8000000000002</v>
      </c>
      <c r="BU41" s="45">
        <v>1064.4000000000001</v>
      </c>
      <c r="CM41" s="45">
        <f t="shared" si="138"/>
        <v>2913</v>
      </c>
      <c r="CN41" s="45">
        <f t="shared" si="139"/>
        <v>2536.6999999999998</v>
      </c>
      <c r="CO41" s="45">
        <f t="shared" si="140"/>
        <v>2473.1</v>
      </c>
      <c r="CP41" s="45">
        <f t="shared" si="141"/>
        <v>1985.9</v>
      </c>
      <c r="CQ41" s="45">
        <f t="shared" si="142"/>
        <v>2566.9</v>
      </c>
    </row>
    <row r="42" spans="2:119">
      <c r="B42" s="1" t="s">
        <v>1462</v>
      </c>
      <c r="AU42" s="45"/>
      <c r="AV42" s="45"/>
      <c r="AW42" s="45"/>
      <c r="AX42" s="45"/>
      <c r="AY42" s="45">
        <v>654.29999999999995</v>
      </c>
      <c r="AZ42" s="45">
        <v>699.9</v>
      </c>
      <c r="BA42" s="45">
        <v>695</v>
      </c>
      <c r="BB42" s="45">
        <v>782.7</v>
      </c>
      <c r="BC42" s="45">
        <v>906.1</v>
      </c>
      <c r="BD42" s="45">
        <v>838.5</v>
      </c>
      <c r="BE42" s="45">
        <v>849.6</v>
      </c>
      <c r="BF42" s="45">
        <v>942.1</v>
      </c>
      <c r="BG42" s="45">
        <v>925.3</v>
      </c>
      <c r="BH42" s="45">
        <v>904.2</v>
      </c>
      <c r="BI42" s="45">
        <v>962.7</v>
      </c>
      <c r="BJ42" s="45">
        <v>1130</v>
      </c>
      <c r="BK42" s="45">
        <v>1127.9000000000001</v>
      </c>
      <c r="BL42" s="45">
        <v>1109.0999999999999</v>
      </c>
      <c r="BM42" s="45">
        <v>1153</v>
      </c>
      <c r="BN42" s="45">
        <v>1225.4000000000001</v>
      </c>
      <c r="BO42" s="45">
        <v>1221.5</v>
      </c>
      <c r="BP42" s="45">
        <v>1269.2</v>
      </c>
      <c r="BQ42" s="45">
        <v>1259.7</v>
      </c>
      <c r="BR42" s="45">
        <v>1527.3</v>
      </c>
      <c r="BS42" s="45">
        <v>1595.6</v>
      </c>
      <c r="BT42" s="45">
        <v>1673.2</v>
      </c>
      <c r="BU42" s="45">
        <v>1721.3</v>
      </c>
      <c r="CM42" s="45">
        <f t="shared" si="138"/>
        <v>782.7</v>
      </c>
      <c r="CN42" s="45">
        <f t="shared" si="139"/>
        <v>942.1</v>
      </c>
      <c r="CO42" s="45">
        <f t="shared" si="140"/>
        <v>1130</v>
      </c>
      <c r="CP42" s="45">
        <f t="shared" si="141"/>
        <v>1225.4000000000001</v>
      </c>
      <c r="CQ42" s="45">
        <f t="shared" si="142"/>
        <v>1527.3</v>
      </c>
      <c r="DE42" s="55"/>
      <c r="DF42" s="56"/>
      <c r="DG42" s="56"/>
      <c r="DH42" s="55"/>
      <c r="DI42" s="56"/>
      <c r="DJ42" s="57"/>
      <c r="DK42" s="56"/>
      <c r="DL42" s="58"/>
      <c r="DN42" s="56"/>
      <c r="DO42" s="56"/>
    </row>
    <row r="43" spans="2:119" ht="14.25" customHeight="1">
      <c r="B43" s="1" t="s">
        <v>1463</v>
      </c>
      <c r="AU43" s="45"/>
      <c r="AV43" s="45"/>
      <c r="AW43" s="45"/>
      <c r="AX43" s="45"/>
      <c r="AY43" s="45">
        <v>576.79999999999995</v>
      </c>
      <c r="AZ43" s="45">
        <v>569.70000000000005</v>
      </c>
      <c r="BA43" s="45">
        <v>584.9</v>
      </c>
      <c r="BB43" s="45">
        <v>587.1</v>
      </c>
      <c r="BC43" s="45">
        <v>653</v>
      </c>
      <c r="BD43" s="45">
        <v>724</v>
      </c>
      <c r="BE43" s="45">
        <v>837.1</v>
      </c>
      <c r="BF43" s="45">
        <v>893.2</v>
      </c>
      <c r="BG43" s="45">
        <v>946.6</v>
      </c>
      <c r="BH43" s="45">
        <v>1005.2</v>
      </c>
      <c r="BI43" s="45">
        <v>1147.5</v>
      </c>
      <c r="BJ43" s="45">
        <v>1220.5999999999999</v>
      </c>
      <c r="BK43" s="45">
        <v>1299.3</v>
      </c>
      <c r="BL43" s="45">
        <v>1383.9</v>
      </c>
      <c r="BM43" s="45">
        <v>1481.7</v>
      </c>
      <c r="BN43" s="45">
        <v>1487.2</v>
      </c>
      <c r="BO43" s="45">
        <v>1553.6</v>
      </c>
      <c r="BP43" s="45">
        <v>1667</v>
      </c>
      <c r="BQ43" s="45">
        <v>1781.9</v>
      </c>
      <c r="BR43" s="45">
        <v>1840</v>
      </c>
      <c r="BS43" s="45">
        <v>1945.1</v>
      </c>
      <c r="BT43" s="45">
        <v>2028.7</v>
      </c>
      <c r="BU43" s="45">
        <v>2128.1999999999998</v>
      </c>
      <c r="CM43" s="45">
        <f t="shared" si="138"/>
        <v>587.1</v>
      </c>
      <c r="CN43" s="45">
        <f t="shared" si="139"/>
        <v>893.2</v>
      </c>
      <c r="CO43" s="45">
        <f t="shared" si="140"/>
        <v>1220.5999999999999</v>
      </c>
      <c r="CP43" s="45">
        <f t="shared" si="141"/>
        <v>1487.2</v>
      </c>
      <c r="CQ43" s="45">
        <f t="shared" si="142"/>
        <v>1840</v>
      </c>
      <c r="CS43" s="74" t="s">
        <v>1490</v>
      </c>
      <c r="CV43" s="55" t="s">
        <v>1511</v>
      </c>
      <c r="CW43" s="56"/>
      <c r="CX43" s="75" t="s">
        <v>1489</v>
      </c>
      <c r="CY43" s="56"/>
      <c r="CZ43" s="76" t="s">
        <v>1491</v>
      </c>
      <c r="DA43" s="59">
        <v>0.26950000000000002</v>
      </c>
      <c r="DB43" s="77"/>
      <c r="DE43" s="56"/>
      <c r="DF43" s="56"/>
      <c r="DG43" s="56"/>
      <c r="DH43" s="56"/>
      <c r="DI43" s="56"/>
      <c r="DJ43" s="57"/>
      <c r="DK43" s="56"/>
      <c r="DL43" s="58"/>
      <c r="DN43" s="56"/>
      <c r="DO43" s="56"/>
    </row>
    <row r="44" spans="2:119" ht="14.25" customHeight="1">
      <c r="B44" s="1" t="s">
        <v>1464</v>
      </c>
      <c r="AU44" s="45"/>
      <c r="AV44" s="45"/>
      <c r="AW44" s="45"/>
      <c r="AX44" s="45"/>
      <c r="AY44" s="45">
        <v>277.8</v>
      </c>
      <c r="AZ44" s="45">
        <v>307.8</v>
      </c>
      <c r="BA44" s="45">
        <v>359.9</v>
      </c>
      <c r="BB44" s="45">
        <v>271</v>
      </c>
      <c r="BC44" s="45">
        <v>258.5</v>
      </c>
      <c r="BD44" s="45">
        <v>292.60000000000002</v>
      </c>
      <c r="BE44" s="45">
        <v>292.5</v>
      </c>
      <c r="BF44" s="45">
        <v>299.8</v>
      </c>
      <c r="BG44" s="45">
        <v>312.89999999999998</v>
      </c>
      <c r="BH44" s="45">
        <v>323.2</v>
      </c>
      <c r="BI44" s="45">
        <v>317</v>
      </c>
      <c r="BJ44" s="45">
        <v>314</v>
      </c>
      <c r="BK44" s="45">
        <v>405.4</v>
      </c>
      <c r="BL44" s="45">
        <v>404.1</v>
      </c>
      <c r="BM44" s="45">
        <v>349.2</v>
      </c>
      <c r="BN44" s="45">
        <v>385.1</v>
      </c>
      <c r="BO44" s="45">
        <v>371.4</v>
      </c>
      <c r="BP44" s="45">
        <v>483.2</v>
      </c>
      <c r="BQ44" s="45">
        <v>574.9</v>
      </c>
      <c r="BR44" s="45">
        <v>477.3</v>
      </c>
      <c r="BS44" s="45">
        <v>751.5</v>
      </c>
      <c r="BT44" s="45">
        <v>624.6</v>
      </c>
      <c r="BU44" s="45">
        <v>536.29999999999995</v>
      </c>
      <c r="CM44" s="45">
        <f t="shared" si="138"/>
        <v>271</v>
      </c>
      <c r="CN44" s="45">
        <f t="shared" si="139"/>
        <v>299.8</v>
      </c>
      <c r="CO44" s="45">
        <f t="shared" si="140"/>
        <v>314</v>
      </c>
      <c r="CP44" s="45">
        <f t="shared" si="141"/>
        <v>385.1</v>
      </c>
      <c r="CQ44" s="45">
        <f t="shared" si="142"/>
        <v>477.3</v>
      </c>
      <c r="CS44" s="56">
        <v>2023</v>
      </c>
      <c r="CT44" s="56">
        <v>2024</v>
      </c>
      <c r="CV44" s="55" t="s">
        <v>1492</v>
      </c>
      <c r="CW44" s="56"/>
      <c r="CX44" s="77">
        <v>2025</v>
      </c>
      <c r="CY44" s="56"/>
      <c r="CZ44" s="76" t="s">
        <v>1493</v>
      </c>
      <c r="DA44" s="59">
        <v>1.7500000000000002E-2</v>
      </c>
      <c r="DB44" s="77"/>
      <c r="DF44" s="56"/>
      <c r="DI44" s="56"/>
      <c r="DK44" s="56"/>
      <c r="DL44" s="58"/>
      <c r="DN44" s="56"/>
      <c r="DO44" s="56"/>
    </row>
    <row r="45" spans="2:119" ht="14.25" customHeight="1">
      <c r="B45" s="1" t="s">
        <v>1465</v>
      </c>
      <c r="AU45" s="45"/>
      <c r="AV45" s="45"/>
      <c r="AW45" s="45"/>
      <c r="AX45" s="45"/>
      <c r="AY45" s="45">
        <v>1592.9</v>
      </c>
      <c r="AZ45" s="45">
        <v>1651.2</v>
      </c>
      <c r="BA45" s="45">
        <v>1737.9</v>
      </c>
      <c r="BB45" s="45">
        <v>1876.4</v>
      </c>
      <c r="BC45" s="45">
        <v>1968</v>
      </c>
      <c r="BD45" s="45">
        <v>2109.3000000000002</v>
      </c>
      <c r="BE45" s="45">
        <v>2243.6999999999998</v>
      </c>
      <c r="BF45" s="45">
        <v>2374.1999999999998</v>
      </c>
      <c r="BG45" s="45">
        <v>2580.1999999999998</v>
      </c>
      <c r="BH45" s="45">
        <v>2830.8</v>
      </c>
      <c r="BI45" s="45">
        <v>3077</v>
      </c>
      <c r="BJ45" s="45">
        <v>3537.6</v>
      </c>
      <c r="BK45" s="45">
        <v>3799.6</v>
      </c>
      <c r="BL45" s="45">
        <v>4116.8</v>
      </c>
      <c r="BM45" s="45">
        <v>4433</v>
      </c>
      <c r="BN45" s="45">
        <v>4646.6000000000004</v>
      </c>
      <c r="BO45" s="1">
        <v>4799</v>
      </c>
      <c r="BP45" s="45">
        <v>4985.3</v>
      </c>
      <c r="BQ45" s="45">
        <v>5150.8999999999996</v>
      </c>
      <c r="BR45" s="45">
        <v>5342.4</v>
      </c>
      <c r="BS45" s="45">
        <v>5447.9</v>
      </c>
      <c r="BT45" s="45">
        <v>5551.5</v>
      </c>
      <c r="BU45" s="45">
        <v>5676.2</v>
      </c>
      <c r="CM45" s="45">
        <f t="shared" si="138"/>
        <v>1876.4</v>
      </c>
      <c r="CN45" s="45">
        <f t="shared" si="139"/>
        <v>2374.1999999999998</v>
      </c>
      <c r="CO45" s="45">
        <f t="shared" si="140"/>
        <v>3537.6</v>
      </c>
      <c r="CP45" s="45">
        <f t="shared" si="141"/>
        <v>4646.6000000000004</v>
      </c>
      <c r="CQ45" s="45">
        <f t="shared" si="142"/>
        <v>5342.4</v>
      </c>
      <c r="CS45" s="61">
        <f>SUM(CO40:CO43)-CO51+CO45+CO48</f>
        <v>11908.099999999999</v>
      </c>
      <c r="CT45" s="61">
        <f>SUM(CP40:CP43)-CP51+CP45+CP48</f>
        <v>12300.500000000002</v>
      </c>
      <c r="CV45" s="61">
        <f>AVERAGE(CS45:CT45)</f>
        <v>12104.3</v>
      </c>
      <c r="CW45" s="56"/>
      <c r="CX45" s="60">
        <f>AVERAGE(CR23)*(1-CR37)</f>
        <v>3253.1753129850008</v>
      </c>
      <c r="CY45" s="56"/>
      <c r="CZ45" s="76" t="s">
        <v>1494</v>
      </c>
      <c r="DA45" s="59">
        <f>CV54</f>
        <v>5.1700000000000003E-2</v>
      </c>
      <c r="DB45" s="77"/>
      <c r="DF45" s="56"/>
      <c r="DG45" s="56"/>
      <c r="DH45" s="56"/>
      <c r="DI45" s="56"/>
      <c r="DJ45" s="56"/>
      <c r="DK45" s="56"/>
      <c r="DL45" s="58"/>
      <c r="DN45" s="56"/>
      <c r="DO45" s="56"/>
    </row>
    <row r="46" spans="2:119" ht="14.25" customHeight="1">
      <c r="B46" s="1" t="s">
        <v>1466</v>
      </c>
      <c r="AU46" s="45"/>
      <c r="AV46" s="45"/>
      <c r="AW46" s="45"/>
      <c r="AX46" s="45"/>
      <c r="AY46" s="45">
        <v>2673</v>
      </c>
      <c r="AZ46" s="45">
        <v>3295.6</v>
      </c>
      <c r="BA46" s="45">
        <v>4131.5</v>
      </c>
      <c r="BB46" s="45">
        <v>4415.5</v>
      </c>
      <c r="BC46" s="45">
        <v>4416.2</v>
      </c>
      <c r="BD46" s="45">
        <v>3738</v>
      </c>
      <c r="BE46" s="45">
        <v>3078.1</v>
      </c>
      <c r="BF46" s="45">
        <v>2623.6</v>
      </c>
      <c r="BG46" s="45">
        <v>1886.4</v>
      </c>
      <c r="BH46" s="45">
        <v>1332.5</v>
      </c>
      <c r="BI46" s="45">
        <v>1044.9000000000001</v>
      </c>
      <c r="BJ46" s="45">
        <v>2120</v>
      </c>
      <c r="BK46" s="45">
        <v>2522.6</v>
      </c>
      <c r="BL46" s="45">
        <v>2925.9</v>
      </c>
      <c r="BM46" s="45">
        <v>4079.8</v>
      </c>
      <c r="BN46" s="45">
        <v>4819.1000000000004</v>
      </c>
      <c r="BO46" s="45">
        <v>4589.8999999999996</v>
      </c>
      <c r="BP46" s="45">
        <v>4206</v>
      </c>
      <c r="BQ46" s="45">
        <v>3523.7</v>
      </c>
      <c r="BR46" s="45">
        <v>3099.2</v>
      </c>
      <c r="BS46" s="45">
        <v>3461.9</v>
      </c>
      <c r="BT46" s="45">
        <v>3409.3</v>
      </c>
      <c r="BU46" s="45">
        <v>2757.9</v>
      </c>
      <c r="CM46" s="45">
        <f t="shared" si="138"/>
        <v>4415.5</v>
      </c>
      <c r="CN46" s="45">
        <f t="shared" si="139"/>
        <v>2623.6</v>
      </c>
      <c r="CO46" s="45">
        <f t="shared" si="140"/>
        <v>2120</v>
      </c>
      <c r="CP46" s="45">
        <f t="shared" si="141"/>
        <v>4819.1000000000004</v>
      </c>
      <c r="CQ46" s="45">
        <f t="shared" si="142"/>
        <v>3099.2</v>
      </c>
      <c r="CT46" s="56"/>
      <c r="CU46" s="56"/>
      <c r="CV46" s="56"/>
      <c r="CW46" s="56"/>
      <c r="CX46" s="62">
        <f>CX45/CV45</f>
        <v>0.26876195343679526</v>
      </c>
      <c r="CY46" s="56"/>
      <c r="CZ46" s="76" t="s">
        <v>1495</v>
      </c>
      <c r="DA46" s="59">
        <f>11.35%-DA45</f>
        <v>6.1799999999999987E-2</v>
      </c>
      <c r="DB46" s="77"/>
      <c r="DE46" s="56"/>
      <c r="DF46" s="56"/>
      <c r="DG46" s="56"/>
      <c r="DH46" s="56"/>
      <c r="DI46" s="56"/>
      <c r="DJ46" s="56"/>
      <c r="DK46" s="56"/>
      <c r="DL46" s="58"/>
      <c r="DN46" s="56"/>
      <c r="DO46" s="56"/>
    </row>
    <row r="47" spans="2:119" ht="14.25" customHeight="1">
      <c r="B47" s="1" t="s">
        <v>1467</v>
      </c>
      <c r="AU47" s="45"/>
      <c r="AV47" s="45"/>
      <c r="AW47" s="45"/>
      <c r="AX47" s="45"/>
      <c r="AY47" s="45">
        <v>336.6</v>
      </c>
      <c r="AZ47" s="45">
        <v>394.4</v>
      </c>
      <c r="BA47" s="45">
        <v>411.5</v>
      </c>
      <c r="BB47" s="45">
        <v>441.4</v>
      </c>
      <c r="BC47" s="45">
        <v>485</v>
      </c>
      <c r="BD47" s="45">
        <v>515.9</v>
      </c>
      <c r="BE47" s="45">
        <v>587.4</v>
      </c>
      <c r="BF47" s="45">
        <v>664.6</v>
      </c>
      <c r="BG47" s="45">
        <v>644.70000000000005</v>
      </c>
      <c r="BH47" s="45">
        <v>666.5</v>
      </c>
      <c r="BI47" s="45">
        <v>701.4</v>
      </c>
      <c r="BJ47" s="45">
        <v>910.5</v>
      </c>
      <c r="BK47" s="45">
        <v>917.8</v>
      </c>
      <c r="BL47" s="45">
        <v>946.9</v>
      </c>
      <c r="BM47" s="45">
        <v>997</v>
      </c>
      <c r="BN47" s="45">
        <v>1045.0999999999999</v>
      </c>
      <c r="BO47" s="45">
        <v>1038.5999999999999</v>
      </c>
      <c r="BP47" s="45">
        <v>1070.3</v>
      </c>
      <c r="BQ47" s="45">
        <v>978.9</v>
      </c>
      <c r="BR47" s="45">
        <v>1018.6</v>
      </c>
      <c r="BS47" s="45">
        <v>683.8</v>
      </c>
      <c r="BT47" s="45">
        <v>652.4</v>
      </c>
      <c r="BU47" s="45">
        <v>719.7</v>
      </c>
      <c r="CM47" s="45">
        <f t="shared" si="138"/>
        <v>441.4</v>
      </c>
      <c r="CN47" s="45">
        <f t="shared" si="139"/>
        <v>664.6</v>
      </c>
      <c r="CO47" s="45">
        <f t="shared" si="140"/>
        <v>910.5</v>
      </c>
      <c r="CP47" s="45">
        <f t="shared" si="141"/>
        <v>1045.0999999999999</v>
      </c>
      <c r="CQ47" s="45">
        <f t="shared" si="142"/>
        <v>1018.6</v>
      </c>
      <c r="CS47" s="67" t="s">
        <v>1512</v>
      </c>
      <c r="CT47" s="56"/>
      <c r="CU47" s="56"/>
      <c r="CW47" s="56"/>
      <c r="CX47" s="56"/>
      <c r="CY47" s="56"/>
      <c r="CZ47" s="76" t="s">
        <v>1496</v>
      </c>
      <c r="DA47" s="63">
        <f>'Notes | Quant Analysis'!T216</f>
        <v>1.3586619071446078</v>
      </c>
      <c r="DB47" s="77"/>
      <c r="DE47" s="56"/>
      <c r="DF47" s="56"/>
      <c r="DG47" s="56"/>
      <c r="DH47" s="56"/>
      <c r="DI47" s="56"/>
      <c r="DJ47" s="56"/>
      <c r="DK47" s="56"/>
      <c r="DL47" s="58"/>
      <c r="DN47" s="56"/>
      <c r="DO47" s="56"/>
    </row>
    <row r="48" spans="2:119" ht="14.25" customHeight="1">
      <c r="B48" s="1" t="s">
        <v>1468</v>
      </c>
      <c r="AU48" s="45"/>
      <c r="AV48" s="45"/>
      <c r="AW48" s="45"/>
      <c r="AX48" s="45"/>
      <c r="AY48" s="45">
        <f>527+344.5</f>
        <v>871.5</v>
      </c>
      <c r="AZ48" s="45">
        <f>594.9+344.3</f>
        <v>939.2</v>
      </c>
      <c r="BA48" s="45">
        <f>581.4+344.3</f>
        <v>925.7</v>
      </c>
      <c r="BB48" s="45">
        <f>633+343.6</f>
        <v>976.6</v>
      </c>
      <c r="BC48" s="45">
        <f>662+343</f>
        <v>1005</v>
      </c>
      <c r="BD48" s="45">
        <f>700+349</f>
        <v>1049</v>
      </c>
      <c r="BE48" s="45">
        <f>710+348</f>
        <v>1058</v>
      </c>
      <c r="BF48" s="45">
        <f>710.1+348.5</f>
        <v>1058.5999999999999</v>
      </c>
      <c r="BG48" s="45">
        <f>716.3+348.6</f>
        <v>1064.9000000000001</v>
      </c>
      <c r="BH48" s="45">
        <f>693.1+348.6</f>
        <v>1041.7</v>
      </c>
      <c r="BI48" s="45">
        <f>638.4+348.1</f>
        <v>986.5</v>
      </c>
      <c r="BJ48" s="45">
        <f>636.7+348.7</f>
        <v>985.40000000000009</v>
      </c>
      <c r="BK48" s="45">
        <f>607.1+348.2</f>
        <v>955.3</v>
      </c>
      <c r="BL48" s="45">
        <f>658+348</f>
        <v>1006</v>
      </c>
      <c r="BM48" s="45">
        <f>669.7+348.3</f>
        <v>1018</v>
      </c>
      <c r="BN48" s="45">
        <f>773.9+347.5</f>
        <v>1121.4000000000001</v>
      </c>
      <c r="BO48" s="45">
        <f>787.6+347.5</f>
        <v>1135.0999999999999</v>
      </c>
      <c r="BP48" s="45">
        <f>807+348.7</f>
        <v>1155.7</v>
      </c>
      <c r="BQ48" s="45">
        <f>824.9+348.1</f>
        <v>1173</v>
      </c>
      <c r="BR48" s="45">
        <f>848.7+370.3</f>
        <v>1219</v>
      </c>
      <c r="BS48" s="45">
        <f>1094.7+613.2</f>
        <v>1707.9</v>
      </c>
      <c r="BT48" s="45">
        <f>1140.1+580.6</f>
        <v>1720.6999999999998</v>
      </c>
      <c r="BU48" s="45">
        <f>1209.2+557.8</f>
        <v>1767</v>
      </c>
      <c r="CM48" s="45">
        <f t="shared" si="138"/>
        <v>976.6</v>
      </c>
      <c r="CN48" s="45">
        <f t="shared" si="139"/>
        <v>1058.5999999999999</v>
      </c>
      <c r="CO48" s="45">
        <f t="shared" si="140"/>
        <v>985.40000000000009</v>
      </c>
      <c r="CP48" s="45">
        <f t="shared" si="141"/>
        <v>1121.4000000000001</v>
      </c>
      <c r="CQ48" s="45">
        <f t="shared" si="142"/>
        <v>1219</v>
      </c>
      <c r="CS48" s="78" t="s">
        <v>1513</v>
      </c>
      <c r="CV48" s="60">
        <f>Main!C7</f>
        <v>142161.66</v>
      </c>
      <c r="CW48" s="56"/>
      <c r="CY48" s="56"/>
      <c r="CZ48" s="76" t="s">
        <v>1497</v>
      </c>
      <c r="DA48" s="59">
        <f>+DA45+(DA46*DA47)</f>
        <v>0.13566530586153674</v>
      </c>
      <c r="DB48" s="77"/>
      <c r="DE48" s="56"/>
      <c r="DF48" s="56"/>
      <c r="DG48" s="56"/>
      <c r="DH48" s="56"/>
      <c r="DI48" s="56"/>
      <c r="DJ48" s="56"/>
      <c r="DK48" s="56"/>
      <c r="DL48" s="58"/>
      <c r="DN48" s="56"/>
      <c r="DO48" s="56"/>
    </row>
    <row r="49" spans="2:157" s="2" customFormat="1" ht="14.25" customHeight="1">
      <c r="B49" s="2" t="s">
        <v>1469</v>
      </c>
      <c r="AU49" s="47"/>
      <c r="AV49" s="47"/>
      <c r="AW49" s="47"/>
      <c r="AX49" s="47"/>
      <c r="AY49" s="47">
        <f t="shared" ref="AY49:BP49" si="144">SUM(AY40:AY48)</f>
        <v>11540.400000000001</v>
      </c>
      <c r="AZ49" s="47">
        <f t="shared" si="144"/>
        <v>12297</v>
      </c>
      <c r="BA49" s="47">
        <f t="shared" si="144"/>
        <v>12934.6</v>
      </c>
      <c r="BB49" s="47">
        <f t="shared" si="144"/>
        <v>13554.6</v>
      </c>
      <c r="BC49" s="47">
        <f t="shared" si="144"/>
        <v>13677.4</v>
      </c>
      <c r="BD49" s="47">
        <f t="shared" si="144"/>
        <v>13704.699999999999</v>
      </c>
      <c r="BE49" s="47">
        <f t="shared" si="144"/>
        <v>13260.3</v>
      </c>
      <c r="BF49" s="47">
        <f t="shared" si="144"/>
        <v>12974.000000000002</v>
      </c>
      <c r="BG49" s="47">
        <f t="shared" si="144"/>
        <v>13053.2</v>
      </c>
      <c r="BH49" s="47">
        <f t="shared" si="144"/>
        <v>13903.300000000001</v>
      </c>
      <c r="BI49" s="47">
        <f t="shared" si="144"/>
        <v>14712.699999999999</v>
      </c>
      <c r="BJ49" s="47">
        <f t="shared" si="144"/>
        <v>15441.3</v>
      </c>
      <c r="BK49" s="47">
        <f t="shared" si="144"/>
        <v>15827.999999999998</v>
      </c>
      <c r="BL49" s="47">
        <f t="shared" si="144"/>
        <v>16649.899999999998</v>
      </c>
      <c r="BM49" s="47">
        <f t="shared" si="144"/>
        <v>17743.400000000001</v>
      </c>
      <c r="BN49" s="47">
        <f t="shared" si="144"/>
        <v>18743.200000000004</v>
      </c>
      <c r="BO49" s="47">
        <f t="shared" si="144"/>
        <v>19220.399999999994</v>
      </c>
      <c r="BP49" s="47">
        <f t="shared" si="144"/>
        <v>20163.2</v>
      </c>
      <c r="BQ49" s="47">
        <f t="shared" ref="BQ49:BR49" si="145">SUM(BQ40:BQ48)</f>
        <v>19351.8</v>
      </c>
      <c r="BR49" s="47">
        <f t="shared" si="145"/>
        <v>20458.699999999997</v>
      </c>
      <c r="BS49" s="47">
        <f t="shared" ref="BS49:BT49" si="146">SUM(BS40:BS48)</f>
        <v>20111</v>
      </c>
      <c r="BT49" s="47">
        <f t="shared" si="146"/>
        <v>20876.600000000002</v>
      </c>
      <c r="BU49" s="47">
        <f t="shared" ref="BU49" si="147">SUM(BU40:BU48)</f>
        <v>19349.100000000002</v>
      </c>
      <c r="BV49" s="34"/>
      <c r="BW49" s="34"/>
      <c r="BX49" s="34"/>
      <c r="BY49" s="34"/>
      <c r="CM49" s="47">
        <f t="shared" si="138"/>
        <v>13554.6</v>
      </c>
      <c r="CN49" s="47">
        <f t="shared" si="139"/>
        <v>12974.000000000002</v>
      </c>
      <c r="CO49" s="47">
        <f t="shared" si="140"/>
        <v>15441.3</v>
      </c>
      <c r="CP49" s="47">
        <f t="shared" si="141"/>
        <v>18743.200000000004</v>
      </c>
      <c r="CQ49" s="47">
        <f t="shared" si="142"/>
        <v>20458.699999999997</v>
      </c>
      <c r="CR49" s="34"/>
      <c r="CS49" s="78" t="s">
        <v>1514</v>
      </c>
      <c r="CT49" s="35"/>
      <c r="CU49" s="35"/>
      <c r="CV49" s="79">
        <f>Main!C9/(Main!C9+CV48)</f>
        <v>0</v>
      </c>
      <c r="CW49" s="67"/>
      <c r="CX49" s="35"/>
      <c r="CY49" s="56"/>
      <c r="CZ49" s="76"/>
      <c r="DA49" s="56"/>
      <c r="DB49" s="77"/>
      <c r="DD49" s="34"/>
      <c r="DE49" s="56"/>
      <c r="DF49" s="56"/>
      <c r="DG49" s="56"/>
      <c r="DH49" s="56"/>
      <c r="DI49" s="56"/>
      <c r="DJ49" s="56"/>
      <c r="DK49" s="56"/>
      <c r="DL49" s="58"/>
      <c r="DN49" s="56"/>
      <c r="DO49" s="56"/>
      <c r="DP49" s="34"/>
      <c r="DQ49" s="34"/>
      <c r="DR49" s="34"/>
      <c r="DS49" s="34"/>
      <c r="DT49" s="34"/>
      <c r="DU49" s="34"/>
      <c r="DV49" s="34"/>
      <c r="DW49" s="34"/>
      <c r="DX49" s="34"/>
      <c r="DY49" s="34"/>
      <c r="DZ49" s="34"/>
      <c r="EA49" s="34"/>
      <c r="EB49" s="34"/>
      <c r="EC49" s="34"/>
      <c r="ED49" s="34"/>
      <c r="EE49" s="34"/>
      <c r="EF49" s="34"/>
      <c r="EG49" s="34"/>
      <c r="EH49" s="34"/>
      <c r="EI49" s="34"/>
      <c r="EJ49" s="34"/>
      <c r="EK49" s="34"/>
      <c r="EL49" s="34"/>
      <c r="EM49" s="34"/>
      <c r="EN49" s="34"/>
      <c r="EO49" s="34"/>
      <c r="EP49" s="34"/>
      <c r="EQ49" s="34"/>
      <c r="ER49" s="34"/>
      <c r="ES49" s="34"/>
      <c r="ET49" s="34"/>
      <c r="EU49" s="34"/>
      <c r="EV49" s="34"/>
      <c r="EW49" s="34"/>
      <c r="EX49" s="34"/>
      <c r="EY49" s="34"/>
      <c r="EZ49" s="34"/>
      <c r="FA49" s="34"/>
    </row>
    <row r="50" spans="2:157" ht="14.25" customHeight="1">
      <c r="AU50" s="45"/>
      <c r="AV50" s="45"/>
      <c r="AW50" s="45"/>
      <c r="AX50" s="45"/>
      <c r="AY50" s="45"/>
      <c r="AZ50" s="45"/>
      <c r="BA50" s="45"/>
      <c r="BB50" s="45"/>
      <c r="BC50" s="45"/>
      <c r="BD50" s="45"/>
      <c r="BE50" s="45"/>
      <c r="BF50" s="45"/>
      <c r="BG50" s="45"/>
      <c r="BH50" s="45"/>
      <c r="BI50" s="45"/>
      <c r="BJ50" s="45"/>
      <c r="BK50" s="45"/>
      <c r="BL50" s="45"/>
      <c r="BM50" s="45"/>
      <c r="BN50" s="45"/>
      <c r="BO50" s="45"/>
      <c r="BP50" s="45"/>
      <c r="BQ50" s="45"/>
      <c r="BR50" s="45"/>
      <c r="BS50" s="45"/>
      <c r="BT50" s="45"/>
      <c r="BU50" s="45"/>
      <c r="CQ50" s="45"/>
      <c r="CS50" s="78" t="s">
        <v>1515</v>
      </c>
      <c r="CV50" s="79">
        <f>CV48/(CV48+Main!C9)</f>
        <v>1</v>
      </c>
      <c r="CW50" s="56"/>
      <c r="CY50" s="56"/>
      <c r="CZ50" s="76" t="s">
        <v>1498</v>
      </c>
      <c r="DA50" s="60">
        <f>NPV(DA48,CR27:EY27)</f>
        <v>153583.38141379182</v>
      </c>
      <c r="DB50" s="77"/>
      <c r="DE50" s="56"/>
      <c r="DF50" s="56"/>
      <c r="DG50" s="56"/>
      <c r="DH50" s="56"/>
      <c r="DI50" s="56"/>
      <c r="DJ50" s="56"/>
      <c r="DK50" s="56"/>
      <c r="DL50" s="58"/>
      <c r="DN50" s="64"/>
      <c r="DO50" s="56"/>
    </row>
    <row r="51" spans="2:157" ht="14.25" customHeight="1">
      <c r="B51" s="1" t="s">
        <v>1470</v>
      </c>
      <c r="AU51" s="45"/>
      <c r="AV51" s="45"/>
      <c r="AW51" s="45"/>
      <c r="AX51" s="45"/>
      <c r="AY51" s="45">
        <v>103.1</v>
      </c>
      <c r="AZ51" s="45">
        <v>117.9</v>
      </c>
      <c r="BA51" s="45">
        <v>120</v>
      </c>
      <c r="BB51" s="45">
        <v>121.2</v>
      </c>
      <c r="BC51" s="45">
        <v>128</v>
      </c>
      <c r="BD51" s="45">
        <v>149.69999999999999</v>
      </c>
      <c r="BE51" s="45">
        <v>164.2</v>
      </c>
      <c r="BF51" s="45">
        <v>147</v>
      </c>
      <c r="BG51" s="45">
        <v>164.1</v>
      </c>
      <c r="BH51" s="45">
        <v>199.7</v>
      </c>
      <c r="BI51" s="45">
        <v>196.2</v>
      </c>
      <c r="BJ51" s="45">
        <v>188.7</v>
      </c>
      <c r="BK51" s="45">
        <v>194.4</v>
      </c>
      <c r="BL51" s="45">
        <v>194.4</v>
      </c>
      <c r="BM51" s="45">
        <v>218.7</v>
      </c>
      <c r="BN51" s="45">
        <v>193.4</v>
      </c>
      <c r="BO51" s="45">
        <v>276.2</v>
      </c>
      <c r="BP51" s="45">
        <v>266.8</v>
      </c>
      <c r="BQ51" s="45">
        <v>291.2</v>
      </c>
      <c r="BR51" s="45">
        <v>255.1</v>
      </c>
      <c r="BS51" s="45">
        <v>332.9</v>
      </c>
      <c r="BT51" s="45">
        <v>277.2</v>
      </c>
      <c r="BU51" s="45">
        <v>279.5</v>
      </c>
      <c r="CM51" s="45">
        <f t="shared" ref="CM51:CM58" si="148">BB51</f>
        <v>121.2</v>
      </c>
      <c r="CN51" s="45">
        <f t="shared" ref="CN51:CN58" si="149">BF51</f>
        <v>147</v>
      </c>
      <c r="CO51" s="45">
        <f t="shared" ref="CO51:CO58" si="150">BJ51</f>
        <v>188.7</v>
      </c>
      <c r="CP51" s="45">
        <f t="shared" ref="CP51:CP58" si="151">BN51</f>
        <v>193.4</v>
      </c>
      <c r="CQ51" s="45">
        <f t="shared" ref="CQ51:CQ58" si="152">BR51</f>
        <v>255.1</v>
      </c>
      <c r="CS51" s="81" t="s">
        <v>1516</v>
      </c>
      <c r="CT51" s="34"/>
      <c r="CU51" s="34"/>
      <c r="CV51" s="82">
        <f>CV49/CV50</f>
        <v>0</v>
      </c>
      <c r="CW51" s="56"/>
      <c r="CX51" s="56"/>
      <c r="CY51" s="56"/>
      <c r="CZ51" s="76" t="s">
        <v>141</v>
      </c>
      <c r="DA51" s="61">
        <f>Main!C6</f>
        <v>349</v>
      </c>
      <c r="DB51" s="83"/>
      <c r="DE51" s="56"/>
      <c r="DF51" s="56"/>
      <c r="DG51" s="56"/>
      <c r="DH51" s="56"/>
      <c r="DI51" s="56"/>
      <c r="DJ51" s="56"/>
      <c r="DK51" s="56"/>
      <c r="DL51" s="58"/>
      <c r="DN51" s="65"/>
      <c r="DO51" s="56"/>
    </row>
    <row r="52" spans="2:157" ht="14.25" customHeight="1">
      <c r="B52" s="1" t="s">
        <v>1471</v>
      </c>
      <c r="AU52" s="45"/>
      <c r="AV52" s="45"/>
      <c r="AW52" s="45"/>
      <c r="AX52" s="45"/>
      <c r="AY52" s="45">
        <v>194.8</v>
      </c>
      <c r="AZ52" s="45">
        <v>254</v>
      </c>
      <c r="BA52" s="45">
        <v>265</v>
      </c>
      <c r="BB52" s="45">
        <v>350</v>
      </c>
      <c r="BC52" s="45">
        <v>219.8</v>
      </c>
      <c r="BD52" s="45">
        <v>278.60000000000002</v>
      </c>
      <c r="BE52" s="45">
        <v>308</v>
      </c>
      <c r="BF52" s="45">
        <v>401.6</v>
      </c>
      <c r="BG52" s="45">
        <v>260.89999999999998</v>
      </c>
      <c r="BH52" s="45">
        <v>346.6</v>
      </c>
      <c r="BI52" s="45">
        <v>374.8</v>
      </c>
      <c r="BJ52" s="45">
        <v>436.4</v>
      </c>
      <c r="BK52" s="45">
        <v>238.4</v>
      </c>
      <c r="BL52" s="45">
        <v>321.3</v>
      </c>
      <c r="BM52" s="45">
        <v>377.5</v>
      </c>
      <c r="BN52" s="45">
        <v>535.6</v>
      </c>
      <c r="BO52" s="45">
        <v>309.7</v>
      </c>
      <c r="BP52" s="45">
        <v>420.8</v>
      </c>
      <c r="BQ52" s="45">
        <v>455.5</v>
      </c>
      <c r="BR52" s="45">
        <v>648.4</v>
      </c>
      <c r="BS52" s="45">
        <v>370.7</v>
      </c>
      <c r="BT52" s="45">
        <v>425.7</v>
      </c>
      <c r="BU52" s="45">
        <v>505.9</v>
      </c>
      <c r="CM52" s="45">
        <f t="shared" si="148"/>
        <v>350</v>
      </c>
      <c r="CN52" s="45">
        <f t="shared" si="149"/>
        <v>401.6</v>
      </c>
      <c r="CO52" s="45">
        <f t="shared" si="150"/>
        <v>436.4</v>
      </c>
      <c r="CP52" s="45">
        <f t="shared" si="151"/>
        <v>535.6</v>
      </c>
      <c r="CQ52" s="45">
        <f t="shared" si="152"/>
        <v>648.4</v>
      </c>
      <c r="CW52" s="56"/>
      <c r="CX52" s="56"/>
      <c r="CY52" s="56"/>
      <c r="CZ52" s="76" t="s">
        <v>1499</v>
      </c>
      <c r="DA52" s="63">
        <f>DA50/DA51</f>
        <v>440.06699545499089</v>
      </c>
      <c r="DB52" s="84"/>
      <c r="DE52" s="67"/>
      <c r="DF52" s="67"/>
      <c r="DG52" s="67"/>
      <c r="DH52" s="67"/>
      <c r="DI52" s="67"/>
      <c r="DJ52" s="67"/>
      <c r="DK52" s="67"/>
      <c r="DL52" s="58"/>
      <c r="DN52" s="66"/>
      <c r="DO52" s="67"/>
    </row>
    <row r="53" spans="2:157" ht="14.25" customHeight="1">
      <c r="B53" s="1" t="s">
        <v>1472</v>
      </c>
      <c r="AU53" s="45"/>
      <c r="AV53" s="45"/>
      <c r="AW53" s="45"/>
      <c r="AX53" s="45"/>
      <c r="AY53" s="45">
        <v>358.1</v>
      </c>
      <c r="AZ53" s="45">
        <v>360</v>
      </c>
      <c r="BA53" s="45">
        <v>348.5</v>
      </c>
      <c r="BB53" s="45">
        <v>377.2</v>
      </c>
      <c r="BC53" s="45">
        <v>386</v>
      </c>
      <c r="BD53" s="45">
        <v>376.3</v>
      </c>
      <c r="BE53" s="45">
        <v>358.9</v>
      </c>
      <c r="BF53" s="45">
        <v>397.3</v>
      </c>
      <c r="BG53" s="45">
        <v>417.8</v>
      </c>
      <c r="BH53" s="45">
        <v>405.2</v>
      </c>
      <c r="BI53" s="45">
        <v>394.8</v>
      </c>
      <c r="BJ53" s="45">
        <v>446.1</v>
      </c>
      <c r="BK53" s="45">
        <v>437.5</v>
      </c>
      <c r="BL53" s="45">
        <v>433.9</v>
      </c>
      <c r="BM53" s="45">
        <v>426</v>
      </c>
      <c r="BN53" s="45">
        <v>468.8</v>
      </c>
      <c r="BO53" s="45">
        <v>496.3</v>
      </c>
      <c r="BP53" s="45">
        <v>499.9</v>
      </c>
      <c r="BQ53" s="45">
        <v>491.1</v>
      </c>
      <c r="BR53" s="45">
        <v>506.7</v>
      </c>
      <c r="BS53" s="45">
        <v>559.5</v>
      </c>
      <c r="BT53" s="45">
        <v>549.4</v>
      </c>
      <c r="BU53" s="45">
        <v>541.20000000000005</v>
      </c>
      <c r="CM53" s="45">
        <f t="shared" si="148"/>
        <v>377.2</v>
      </c>
      <c r="CN53" s="45">
        <f t="shared" si="149"/>
        <v>397.3</v>
      </c>
      <c r="CO53" s="45">
        <f t="shared" si="150"/>
        <v>446.1</v>
      </c>
      <c r="CP53" s="45">
        <f t="shared" si="151"/>
        <v>468.8</v>
      </c>
      <c r="CQ53" s="45">
        <f t="shared" si="152"/>
        <v>506.7</v>
      </c>
      <c r="CS53" s="34" t="s">
        <v>1517</v>
      </c>
      <c r="CV53" s="56"/>
      <c r="CW53" s="67"/>
      <c r="CX53" s="67"/>
      <c r="CY53" s="67"/>
      <c r="CZ53" s="76" t="s">
        <v>1500</v>
      </c>
      <c r="DA53" s="63">
        <f>Main!C5</f>
        <v>407.34</v>
      </c>
      <c r="DB53" s="85"/>
      <c r="DE53" s="56"/>
      <c r="DF53" s="56"/>
      <c r="DG53" s="56"/>
      <c r="DH53" s="56"/>
      <c r="DI53" s="56"/>
      <c r="DJ53" s="56"/>
      <c r="DK53" s="56"/>
      <c r="DL53" s="58"/>
      <c r="DO53" s="56"/>
    </row>
    <row r="54" spans="2:157" ht="14.25" customHeight="1">
      <c r="B54" s="1" t="s">
        <v>1473</v>
      </c>
      <c r="AU54" s="45"/>
      <c r="AV54" s="45"/>
      <c r="AW54" s="45"/>
      <c r="AX54" s="45"/>
      <c r="AY54" s="45">
        <v>248.6</v>
      </c>
      <c r="AZ54" s="45">
        <v>272.7</v>
      </c>
      <c r="BA54" s="45">
        <v>293.5</v>
      </c>
      <c r="BB54" s="45">
        <v>301</v>
      </c>
      <c r="BC54" s="45">
        <v>378.3</v>
      </c>
      <c r="BD54" s="45">
        <v>370.4</v>
      </c>
      <c r="BE54" s="45">
        <v>402.1</v>
      </c>
      <c r="BF54" s="45">
        <v>476.2</v>
      </c>
      <c r="BG54" s="45">
        <v>464.6</v>
      </c>
      <c r="BH54" s="45">
        <v>586.9</v>
      </c>
      <c r="BI54" s="45">
        <v>710.6</v>
      </c>
      <c r="BJ54" s="45">
        <v>587.5</v>
      </c>
      <c r="BK54" s="45">
        <v>504.8</v>
      </c>
      <c r="BL54" s="45">
        <v>537.9</v>
      </c>
      <c r="BM54" s="45">
        <v>654.6</v>
      </c>
      <c r="BN54" s="45">
        <v>547.5</v>
      </c>
      <c r="BO54" s="45">
        <v>455.9</v>
      </c>
      <c r="BP54" s="45">
        <v>505.1</v>
      </c>
      <c r="BQ54" s="45">
        <v>565.4</v>
      </c>
      <c r="BR54" s="45">
        <v>596</v>
      </c>
      <c r="BS54" s="45">
        <v>647.9</v>
      </c>
      <c r="BT54" s="45">
        <v>670.6</v>
      </c>
      <c r="BU54" s="45">
        <v>1206.4000000000001</v>
      </c>
      <c r="CM54" s="45">
        <f t="shared" si="148"/>
        <v>301</v>
      </c>
      <c r="CN54" s="45">
        <f t="shared" si="149"/>
        <v>476.2</v>
      </c>
      <c r="CO54" s="45">
        <f t="shared" si="150"/>
        <v>587.5</v>
      </c>
      <c r="CP54" s="45">
        <f t="shared" si="151"/>
        <v>547.5</v>
      </c>
      <c r="CQ54" s="45">
        <f t="shared" si="152"/>
        <v>596</v>
      </c>
      <c r="CS54" s="86" t="s">
        <v>1494</v>
      </c>
      <c r="CV54" s="79">
        <v>5.1700000000000003E-2</v>
      </c>
      <c r="CW54" s="56"/>
      <c r="CX54" s="56"/>
      <c r="CY54" s="56"/>
      <c r="CZ54" s="76" t="s">
        <v>1501</v>
      </c>
      <c r="DA54" s="59">
        <f>DA52/DA53-1</f>
        <v>8.0343191081138299E-2</v>
      </c>
      <c r="DB54" s="65" t="str">
        <f>IF(DA54&gt;0,"Upside","Downside")</f>
        <v>Upside</v>
      </c>
      <c r="DE54" s="56"/>
      <c r="DF54" s="56"/>
      <c r="DG54" s="56"/>
      <c r="DH54" s="56"/>
      <c r="DI54" s="56"/>
      <c r="DJ54" s="56"/>
      <c r="DK54" s="56"/>
      <c r="DN54" s="61"/>
      <c r="DO54" s="56"/>
    </row>
    <row r="55" spans="2:157" ht="14.25" customHeight="1">
      <c r="B55" s="1" t="s">
        <v>1474</v>
      </c>
      <c r="AU55" s="45"/>
      <c r="AV55" s="45"/>
      <c r="AW55" s="45"/>
      <c r="AX55" s="45"/>
      <c r="AY55" s="45">
        <v>445.6</v>
      </c>
      <c r="AZ55" s="45">
        <v>412.9</v>
      </c>
      <c r="BA55" s="45">
        <v>447.8</v>
      </c>
      <c r="BB55" s="45">
        <v>453.7</v>
      </c>
      <c r="BC55" s="45">
        <v>409.3</v>
      </c>
      <c r="BD55" s="45">
        <v>447.8</v>
      </c>
      <c r="BE55" s="45">
        <v>453.4</v>
      </c>
      <c r="BF55" s="45">
        <v>439.3</v>
      </c>
      <c r="BG55" s="45">
        <v>451.6</v>
      </c>
      <c r="BH55" s="45">
        <v>405.2</v>
      </c>
      <c r="BI55" s="45">
        <v>412.8</v>
      </c>
      <c r="BJ55" s="45">
        <v>385.5</v>
      </c>
      <c r="BK55" s="45">
        <v>406.5</v>
      </c>
      <c r="BL55" s="45">
        <v>365.9</v>
      </c>
      <c r="BM55" s="45">
        <v>389.1</v>
      </c>
      <c r="BN55" s="45">
        <v>468.3</v>
      </c>
      <c r="BO55" s="45">
        <v>474.6</v>
      </c>
      <c r="BP55" s="45">
        <v>517.5</v>
      </c>
      <c r="BQ55" s="45">
        <v>506.5</v>
      </c>
      <c r="BR55" s="45">
        <v>510.8</v>
      </c>
      <c r="BS55" s="45">
        <v>602.79999999999995</v>
      </c>
      <c r="BT55" s="45">
        <v>656</v>
      </c>
      <c r="BU55" s="45">
        <v>698.3</v>
      </c>
      <c r="CM55" s="45">
        <f t="shared" si="148"/>
        <v>453.7</v>
      </c>
      <c r="CN55" s="45">
        <f t="shared" si="149"/>
        <v>439.3</v>
      </c>
      <c r="CO55" s="45">
        <f t="shared" si="150"/>
        <v>385.5</v>
      </c>
      <c r="CP55" s="45">
        <f t="shared" si="151"/>
        <v>468.3</v>
      </c>
      <c r="CQ55" s="45">
        <f t="shared" si="152"/>
        <v>510.8</v>
      </c>
      <c r="CS55" s="86" t="s">
        <v>1496</v>
      </c>
      <c r="CV55" s="63">
        <v>1.21</v>
      </c>
      <c r="CZ55" s="97" t="str" cm="1">
        <f t="array" ref="CZ55">_xlfn.IFS(DA54&gt;=25%,"Strong Buy",DA54&gt;=10.00001%,"Buy",AND(DA54&lt;=10%,DA54&gt;=-4.9999%),"Hold",AND(DA54&lt;=-5%,DA54&gt;=-14.999999%),"Sell",DA54&lt;=-15%,"Strong Sell")</f>
        <v>Hold</v>
      </c>
      <c r="DA55" s="97"/>
      <c r="DB55" s="80"/>
    </row>
    <row r="56" spans="2:157" s="2" customFormat="1" ht="14.25" customHeight="1">
      <c r="B56" s="2" t="s">
        <v>1475</v>
      </c>
      <c r="AU56" s="47"/>
      <c r="AV56" s="47"/>
      <c r="AW56" s="47"/>
      <c r="AX56" s="47"/>
      <c r="AY56" s="47">
        <f t="shared" ref="AY56:BN56" si="153">SUM(AY51:AY55)</f>
        <v>1350.2</v>
      </c>
      <c r="AZ56" s="47">
        <f t="shared" si="153"/>
        <v>1417.5</v>
      </c>
      <c r="BA56" s="47">
        <f t="shared" si="153"/>
        <v>1474.8</v>
      </c>
      <c r="BB56" s="47">
        <f t="shared" si="153"/>
        <v>1603.1000000000001</v>
      </c>
      <c r="BC56" s="47">
        <f t="shared" si="153"/>
        <v>1521.3999999999999</v>
      </c>
      <c r="BD56" s="47">
        <f t="shared" si="153"/>
        <v>1622.8</v>
      </c>
      <c r="BE56" s="47">
        <f t="shared" si="153"/>
        <v>1686.6</v>
      </c>
      <c r="BF56" s="47">
        <f t="shared" si="153"/>
        <v>1861.4</v>
      </c>
      <c r="BG56" s="47">
        <f t="shared" si="153"/>
        <v>1759</v>
      </c>
      <c r="BH56" s="47">
        <f t="shared" si="153"/>
        <v>1943.6000000000001</v>
      </c>
      <c r="BI56" s="47">
        <f t="shared" si="153"/>
        <v>2089.2000000000003</v>
      </c>
      <c r="BJ56" s="47">
        <f t="shared" si="153"/>
        <v>2044.1999999999998</v>
      </c>
      <c r="BK56" s="47">
        <f t="shared" si="153"/>
        <v>1781.6</v>
      </c>
      <c r="BL56" s="47">
        <f t="shared" si="153"/>
        <v>1853.4</v>
      </c>
      <c r="BM56" s="47">
        <f t="shared" si="153"/>
        <v>2065.9</v>
      </c>
      <c r="BN56" s="47">
        <f t="shared" si="153"/>
        <v>2213.6</v>
      </c>
      <c r="BO56" s="47">
        <f t="shared" ref="BO56:BT56" si="154">SUM(BO51:BO55)</f>
        <v>2012.6999999999998</v>
      </c>
      <c r="BP56" s="47">
        <f t="shared" si="154"/>
        <v>2210.1</v>
      </c>
      <c r="BQ56" s="47">
        <f t="shared" si="154"/>
        <v>2309.7000000000003</v>
      </c>
      <c r="BR56" s="47">
        <f t="shared" si="154"/>
        <v>2517</v>
      </c>
      <c r="BS56" s="47">
        <f t="shared" si="154"/>
        <v>2513.8000000000002</v>
      </c>
      <c r="BT56" s="47">
        <f t="shared" si="154"/>
        <v>2578.9</v>
      </c>
      <c r="BU56" s="47">
        <f t="shared" ref="BU56" si="155">SUM(BU51:BU55)</f>
        <v>3231.3</v>
      </c>
      <c r="BV56" s="34"/>
      <c r="BW56" s="34"/>
      <c r="BX56" s="34"/>
      <c r="BY56" s="34"/>
      <c r="CM56" s="47">
        <f t="shared" si="148"/>
        <v>1603.1000000000001</v>
      </c>
      <c r="CN56" s="47">
        <f t="shared" si="149"/>
        <v>1861.4</v>
      </c>
      <c r="CO56" s="47">
        <f t="shared" si="150"/>
        <v>2044.1999999999998</v>
      </c>
      <c r="CP56" s="47">
        <f t="shared" si="151"/>
        <v>2213.6</v>
      </c>
      <c r="CQ56" s="47">
        <f t="shared" si="152"/>
        <v>2517</v>
      </c>
      <c r="CR56" s="34"/>
      <c r="CS56" s="78" t="s">
        <v>1518</v>
      </c>
      <c r="CT56" s="35"/>
      <c r="CU56" s="35"/>
      <c r="CV56" s="79">
        <v>0.16</v>
      </c>
      <c r="CW56" s="35"/>
      <c r="CX56" s="35"/>
      <c r="CY56" s="35"/>
      <c r="CZ56" s="35"/>
      <c r="DA56" s="35"/>
      <c r="DB56" s="35"/>
      <c r="DC56" s="34"/>
      <c r="DD56" s="34"/>
      <c r="DE56" s="34"/>
      <c r="DF56" s="34"/>
      <c r="DG56" s="34"/>
      <c r="DH56" s="34"/>
      <c r="DI56" s="34"/>
      <c r="DJ56" s="34"/>
      <c r="DK56" s="34"/>
      <c r="DL56" s="34"/>
      <c r="DM56" s="34"/>
      <c r="DN56" s="34"/>
      <c r="DO56" s="34"/>
      <c r="DP56" s="34"/>
      <c r="DQ56" s="34"/>
      <c r="DR56" s="34"/>
      <c r="DS56" s="34"/>
      <c r="DT56" s="34"/>
      <c r="DU56" s="34"/>
      <c r="DV56" s="34"/>
      <c r="DW56" s="34"/>
      <c r="DX56" s="34"/>
      <c r="DY56" s="34"/>
      <c r="DZ56" s="34"/>
      <c r="EA56" s="34"/>
      <c r="EB56" s="34"/>
      <c r="EC56" s="34"/>
      <c r="ED56" s="34"/>
      <c r="EE56" s="34"/>
      <c r="EF56" s="34"/>
      <c r="EG56" s="34"/>
      <c r="EH56" s="34"/>
      <c r="EI56" s="34"/>
      <c r="EJ56" s="34"/>
      <c r="EK56" s="34"/>
      <c r="EL56" s="34"/>
      <c r="EM56" s="34"/>
      <c r="EN56" s="34"/>
      <c r="EO56" s="34"/>
      <c r="EP56" s="34"/>
      <c r="EQ56" s="34"/>
      <c r="ER56" s="34"/>
      <c r="ES56" s="34"/>
      <c r="ET56" s="34"/>
      <c r="EU56" s="34"/>
      <c r="EV56" s="34"/>
      <c r="EW56" s="34"/>
      <c r="EX56" s="34"/>
      <c r="EY56" s="34"/>
      <c r="EZ56" s="34"/>
      <c r="FA56" s="34"/>
    </row>
    <row r="57" spans="2:157" ht="14.25" customHeight="1">
      <c r="B57" s="1" t="s">
        <v>1476</v>
      </c>
      <c r="AU57" s="45"/>
      <c r="AV57" s="45"/>
      <c r="AW57" s="45"/>
      <c r="AX57" s="45"/>
      <c r="AY57" s="45">
        <v>10190.200000000001</v>
      </c>
      <c r="AZ57" s="45">
        <v>10879.5</v>
      </c>
      <c r="BA57" s="45">
        <v>11460</v>
      </c>
      <c r="BB57" s="45">
        <v>11951.5</v>
      </c>
      <c r="BC57" s="45">
        <v>12156</v>
      </c>
      <c r="BD57" s="45">
        <v>12082.4</v>
      </c>
      <c r="BE57" s="45">
        <v>11573</v>
      </c>
      <c r="BF57" s="45">
        <v>11112.6</v>
      </c>
      <c r="BG57" s="45">
        <v>11294.4</v>
      </c>
      <c r="BH57" s="45">
        <v>11959.7</v>
      </c>
      <c r="BI57" s="45">
        <v>12623.5</v>
      </c>
      <c r="BJ57" s="45">
        <v>13397</v>
      </c>
      <c r="BK57" s="45">
        <v>14046</v>
      </c>
      <c r="BL57" s="45">
        <v>14796.5</v>
      </c>
      <c r="BM57" s="45">
        <v>15677.5</v>
      </c>
      <c r="BN57" s="45">
        <v>16529.599999999999</v>
      </c>
      <c r="BO57" s="45">
        <v>17207</v>
      </c>
      <c r="BP57" s="45">
        <v>17953.099999999999</v>
      </c>
      <c r="BQ57" s="45">
        <v>17042</v>
      </c>
      <c r="BR57" s="45">
        <v>17941.7</v>
      </c>
      <c r="BS57" s="45">
        <v>17597.2</v>
      </c>
      <c r="BT57" s="45">
        <v>18297.7</v>
      </c>
      <c r="BU57" s="45">
        <v>16117.8</v>
      </c>
      <c r="CM57" s="45">
        <f t="shared" si="148"/>
        <v>11951.5</v>
      </c>
      <c r="CN57" s="45">
        <f t="shared" si="149"/>
        <v>11112.6</v>
      </c>
      <c r="CO57" s="45">
        <f t="shared" si="150"/>
        <v>13397</v>
      </c>
      <c r="CP57" s="45">
        <f t="shared" si="151"/>
        <v>16529.599999999999</v>
      </c>
      <c r="CQ57" s="45">
        <f t="shared" si="152"/>
        <v>17941.7</v>
      </c>
      <c r="CS57" s="81" t="s">
        <v>1519</v>
      </c>
      <c r="CT57" s="56"/>
      <c r="CU57" s="2"/>
      <c r="CV57" s="82">
        <f>(CV54+CV55)*(CV56-CV54)</f>
        <v>0.13664211000000001</v>
      </c>
    </row>
    <row r="58" spans="2:157" s="2" customFormat="1" ht="15">
      <c r="B58" s="2" t="s">
        <v>1477</v>
      </c>
      <c r="AU58" s="47"/>
      <c r="AV58" s="47"/>
      <c r="AW58" s="47"/>
      <c r="AX58" s="47"/>
      <c r="AY58" s="47">
        <f t="shared" ref="AY58:BN58" si="156">AY56+AY57</f>
        <v>11540.400000000001</v>
      </c>
      <c r="AZ58" s="47">
        <f t="shared" si="156"/>
        <v>12297</v>
      </c>
      <c r="BA58" s="47">
        <f t="shared" si="156"/>
        <v>12934.8</v>
      </c>
      <c r="BB58" s="47">
        <f t="shared" si="156"/>
        <v>13554.6</v>
      </c>
      <c r="BC58" s="47">
        <f t="shared" si="156"/>
        <v>13677.4</v>
      </c>
      <c r="BD58" s="47">
        <f t="shared" si="156"/>
        <v>13705.199999999999</v>
      </c>
      <c r="BE58" s="47">
        <f t="shared" si="156"/>
        <v>13259.6</v>
      </c>
      <c r="BF58" s="47">
        <f t="shared" si="156"/>
        <v>12974</v>
      </c>
      <c r="BG58" s="47">
        <f t="shared" si="156"/>
        <v>13053.4</v>
      </c>
      <c r="BH58" s="47">
        <f t="shared" si="156"/>
        <v>13903.300000000001</v>
      </c>
      <c r="BI58" s="47">
        <f t="shared" si="156"/>
        <v>14712.7</v>
      </c>
      <c r="BJ58" s="47">
        <f t="shared" si="156"/>
        <v>15441.2</v>
      </c>
      <c r="BK58" s="47">
        <f t="shared" si="156"/>
        <v>15827.6</v>
      </c>
      <c r="BL58" s="47">
        <f t="shared" si="156"/>
        <v>16649.900000000001</v>
      </c>
      <c r="BM58" s="47">
        <f t="shared" si="156"/>
        <v>17743.400000000001</v>
      </c>
      <c r="BN58" s="47">
        <f t="shared" si="156"/>
        <v>18743.199999999997</v>
      </c>
      <c r="BO58" s="47">
        <f t="shared" ref="BO58:BT58" si="157">BO56+BO57</f>
        <v>19219.7</v>
      </c>
      <c r="BP58" s="47">
        <f t="shared" si="157"/>
        <v>20163.199999999997</v>
      </c>
      <c r="BQ58" s="47">
        <f t="shared" si="157"/>
        <v>19351.7</v>
      </c>
      <c r="BR58" s="47">
        <f t="shared" si="157"/>
        <v>20458.7</v>
      </c>
      <c r="BS58" s="47">
        <f t="shared" si="157"/>
        <v>20111</v>
      </c>
      <c r="BT58" s="47">
        <f t="shared" si="157"/>
        <v>20876.600000000002</v>
      </c>
      <c r="BU58" s="47">
        <f t="shared" ref="BU58" si="158">BU56+BU57</f>
        <v>19349.099999999999</v>
      </c>
      <c r="BV58" s="34"/>
      <c r="BW58" s="34"/>
      <c r="BX58" s="34"/>
      <c r="BY58" s="34"/>
      <c r="CM58" s="47">
        <f t="shared" si="148"/>
        <v>13554.6</v>
      </c>
      <c r="CN58" s="47">
        <f t="shared" si="149"/>
        <v>12974</v>
      </c>
      <c r="CO58" s="47">
        <f t="shared" si="150"/>
        <v>15441.2</v>
      </c>
      <c r="CP58" s="47">
        <f t="shared" si="151"/>
        <v>18743.199999999997</v>
      </c>
      <c r="CQ58" s="47">
        <f t="shared" si="152"/>
        <v>20458.7</v>
      </c>
      <c r="CR58" s="34"/>
      <c r="CS58" s="70"/>
      <c r="CT58" s="35"/>
      <c r="CU58" s="35"/>
      <c r="CV58" s="35"/>
      <c r="CW58" s="35"/>
      <c r="CX58" s="35"/>
      <c r="CY58" s="35"/>
      <c r="CZ58" s="35"/>
      <c r="DA58" s="35"/>
      <c r="DB58" s="35"/>
      <c r="DC58" s="34"/>
      <c r="DD58" s="34"/>
      <c r="DE58" s="34"/>
      <c r="DF58" s="34"/>
      <c r="DG58" s="34"/>
      <c r="DH58" s="34"/>
      <c r="DI58" s="34"/>
      <c r="DJ58" s="34"/>
      <c r="DK58" s="34"/>
      <c r="DL58" s="34"/>
      <c r="DM58" s="34"/>
      <c r="DN58" s="34"/>
      <c r="DO58" s="34"/>
      <c r="DP58" s="34"/>
      <c r="DQ58" s="34"/>
      <c r="DR58" s="34"/>
      <c r="DS58" s="34"/>
      <c r="DT58" s="34"/>
      <c r="DU58" s="34"/>
      <c r="DV58" s="34"/>
      <c r="DW58" s="34"/>
      <c r="DX58" s="34"/>
      <c r="DY58" s="34"/>
      <c r="DZ58" s="34"/>
      <c r="EA58" s="34"/>
      <c r="EB58" s="34"/>
      <c r="EC58" s="34"/>
      <c r="ED58" s="34"/>
      <c r="EE58" s="34"/>
      <c r="EF58" s="34"/>
      <c r="EG58" s="34"/>
      <c r="EH58" s="34"/>
      <c r="EI58" s="34"/>
      <c r="EJ58" s="34"/>
      <c r="EK58" s="34"/>
      <c r="EL58" s="34"/>
      <c r="EM58" s="34"/>
      <c r="EN58" s="34"/>
      <c r="EO58" s="34"/>
      <c r="EP58" s="34"/>
      <c r="EQ58" s="34"/>
      <c r="ER58" s="34"/>
      <c r="ES58" s="34"/>
      <c r="ET58" s="34"/>
      <c r="EU58" s="34"/>
      <c r="EV58" s="34"/>
      <c r="EW58" s="34"/>
      <c r="EX58" s="34"/>
      <c r="EY58" s="34"/>
      <c r="EZ58" s="34"/>
      <c r="FA58" s="34"/>
    </row>
    <row r="59" spans="2:157" ht="15">
      <c r="BP59" s="1"/>
      <c r="BQ59" s="1"/>
      <c r="CS59" s="34" t="s">
        <v>1520</v>
      </c>
      <c r="CT59" s="87"/>
      <c r="CV59" s="88"/>
    </row>
    <row r="60" spans="2:157">
      <c r="B60" s="1" t="s">
        <v>130</v>
      </c>
      <c r="AY60" s="39">
        <f t="shared" ref="AY60:BO60" si="159">SUM(AY40:AY44)/SUM(AY51:AY53)</f>
        <v>9.2475609756097565</v>
      </c>
      <c r="AZ60" s="39">
        <f t="shared" si="159"/>
        <v>8.2205219292253027</v>
      </c>
      <c r="BA60" s="39">
        <f t="shared" si="159"/>
        <v>7.8091342876618937</v>
      </c>
      <c r="BB60" s="39">
        <f t="shared" si="159"/>
        <v>6.889085337105139</v>
      </c>
      <c r="BC60" s="39">
        <f t="shared" si="159"/>
        <v>7.9084219133278824</v>
      </c>
      <c r="BD60" s="39">
        <f t="shared" si="159"/>
        <v>7.820656226696495</v>
      </c>
      <c r="BE60" s="39">
        <f t="shared" si="159"/>
        <v>7.5720129948261352</v>
      </c>
      <c r="BF60" s="39">
        <f t="shared" si="159"/>
        <v>6.6106353737181518</v>
      </c>
      <c r="BG60" s="39">
        <f t="shared" si="159"/>
        <v>8.1597057427622222</v>
      </c>
      <c r="BH60" s="39">
        <f t="shared" si="159"/>
        <v>8.4411981082501324</v>
      </c>
      <c r="BI60" s="39">
        <f t="shared" si="159"/>
        <v>9.2181611099606542</v>
      </c>
      <c r="BJ60" s="39">
        <f t="shared" si="159"/>
        <v>7.3635175504107551</v>
      </c>
      <c r="BK60" s="39">
        <f t="shared" si="159"/>
        <v>8.7701941859129047</v>
      </c>
      <c r="BL60" s="39">
        <f t="shared" si="159"/>
        <v>8.0605518112889634</v>
      </c>
      <c r="BM60" s="39">
        <f t="shared" si="159"/>
        <v>7.0588925846214048</v>
      </c>
      <c r="BN60" s="39">
        <f t="shared" si="159"/>
        <v>5.9367173150776429</v>
      </c>
      <c r="BO60" s="39">
        <f t="shared" si="159"/>
        <v>7.0761411938643493</v>
      </c>
      <c r="BP60" s="39">
        <f t="shared" ref="BP60:BU60" si="160">SUM(BP40:BP44)/SUM(BP51:BP53)</f>
        <v>7.3649684210526329</v>
      </c>
      <c r="BQ60" s="39">
        <f t="shared" si="160"/>
        <v>6.8874616254645327</v>
      </c>
      <c r="BR60" s="39">
        <f t="shared" si="160"/>
        <v>6.9348319387320947</v>
      </c>
      <c r="BS60" s="39">
        <f t="shared" si="160"/>
        <v>6.9745071649117261</v>
      </c>
      <c r="BT60" s="39">
        <f t="shared" si="160"/>
        <v>7.6201389443424112</v>
      </c>
      <c r="BU60" s="39">
        <f t="shared" si="160"/>
        <v>6.3533092115181669</v>
      </c>
      <c r="CM60" s="39">
        <f t="shared" ref="CM60:CO60" si="161">SUM(CM40:CM44)/SUM(CM51:CM53)</f>
        <v>6.889085337105139</v>
      </c>
      <c r="CN60" s="39">
        <f t="shared" si="161"/>
        <v>6.6106353737181518</v>
      </c>
      <c r="CO60" s="39">
        <f t="shared" si="161"/>
        <v>7.3635175504107551</v>
      </c>
      <c r="CP60" s="39">
        <f>SUM(CP40:CP44)/SUM(CP51:CP53)</f>
        <v>5.9367173150776429</v>
      </c>
      <c r="CQ60" s="39">
        <f>SUM(CQ40:CQ44)/SUM(CQ51:CQ53)</f>
        <v>6.9348319387320947</v>
      </c>
      <c r="CS60" s="89" t="s">
        <v>1520</v>
      </c>
      <c r="CV60" s="90">
        <v>0</v>
      </c>
      <c r="CX60" s="73"/>
      <c r="CZ60" s="58"/>
    </row>
    <row r="61" spans="2:157" ht="15">
      <c r="B61" s="1" t="s">
        <v>131</v>
      </c>
      <c r="AY61" s="39">
        <f t="shared" ref="AY61:BO61" si="162">(SUM(AY40:AY44)-AY43)/SUM(AY51:AY53)</f>
        <v>8.36829268292683</v>
      </c>
      <c r="AZ61" s="39">
        <f t="shared" si="162"/>
        <v>7.4421369039486267</v>
      </c>
      <c r="BA61" s="39">
        <f t="shared" si="162"/>
        <v>7.0117246080436253</v>
      </c>
      <c r="BB61" s="39">
        <f t="shared" si="162"/>
        <v>6.1970768505421967</v>
      </c>
      <c r="BC61" s="39">
        <f t="shared" si="162"/>
        <v>7.0185336603979289</v>
      </c>
      <c r="BD61" s="39">
        <f t="shared" si="162"/>
        <v>6.920830226199354</v>
      </c>
      <c r="BE61" s="39">
        <f t="shared" si="162"/>
        <v>6.5647936469738903</v>
      </c>
      <c r="BF61" s="39">
        <f t="shared" si="162"/>
        <v>5.6663495084046938</v>
      </c>
      <c r="BG61" s="39">
        <f t="shared" si="162"/>
        <v>7.0365448504983386</v>
      </c>
      <c r="BH61" s="39">
        <f t="shared" si="162"/>
        <v>7.3847609038360487</v>
      </c>
      <c r="BI61" s="39">
        <f t="shared" si="162"/>
        <v>8.0300269206875132</v>
      </c>
      <c r="BJ61" s="39">
        <f t="shared" si="162"/>
        <v>6.2240477968633305</v>
      </c>
      <c r="BK61" s="39">
        <f t="shared" si="162"/>
        <v>7.2772607146960819</v>
      </c>
      <c r="BL61" s="39">
        <f t="shared" si="162"/>
        <v>6.6032013479359728</v>
      </c>
      <c r="BM61" s="39">
        <f t="shared" si="162"/>
        <v>5.6093719428683233</v>
      </c>
      <c r="BN61" s="39">
        <f t="shared" si="162"/>
        <v>4.6951076974453176</v>
      </c>
      <c r="BO61" s="39">
        <f t="shared" si="162"/>
        <v>5.6405470338199954</v>
      </c>
      <c r="BP61" s="39">
        <f t="shared" ref="BP61:BU61" si="163">(SUM(BP40:BP44)-BP43)/SUM(BP51:BP53)</f>
        <v>5.9611789473684222</v>
      </c>
      <c r="BQ61" s="39">
        <f t="shared" si="163"/>
        <v>5.4478914202617537</v>
      </c>
      <c r="BR61" s="39">
        <f t="shared" si="163"/>
        <v>5.6300524748262655</v>
      </c>
      <c r="BS61" s="39">
        <f t="shared" si="163"/>
        <v>5.4345657509302514</v>
      </c>
      <c r="BT61" s="39">
        <f t="shared" si="163"/>
        <v>6.0001597061407024</v>
      </c>
      <c r="BU61" s="39">
        <f t="shared" si="163"/>
        <v>4.7490577415950552</v>
      </c>
      <c r="CM61" s="39">
        <f t="shared" ref="CM61:CO61" si="164">(SUM(CM40:CM44)-CM43)/SUM(CM51:CM53)</f>
        <v>6.1970768505421967</v>
      </c>
      <c r="CN61" s="39">
        <f t="shared" si="164"/>
        <v>5.6663495084046938</v>
      </c>
      <c r="CO61" s="39">
        <f t="shared" si="164"/>
        <v>6.2240477968633305</v>
      </c>
      <c r="CP61" s="39">
        <f>(SUM(CP40:CP44)-CP43)/SUM(CP51:CP53)</f>
        <v>4.6951076974453176</v>
      </c>
      <c r="CQ61" s="39">
        <f>(SUM(CQ40:CQ44)-CQ43)/SUM(CQ51:CQ53)</f>
        <v>5.6300524748262655</v>
      </c>
      <c r="CS61" s="78" t="s">
        <v>1521</v>
      </c>
      <c r="CV61" s="79">
        <v>0.2</v>
      </c>
      <c r="CX61" s="73"/>
      <c r="CY61" s="79"/>
      <c r="CZ61" s="58"/>
      <c r="DA61" s="2"/>
      <c r="DB61" s="2"/>
    </row>
    <row r="62" spans="2:157" ht="15">
      <c r="B62" s="1" t="s">
        <v>132</v>
      </c>
      <c r="AY62" s="39">
        <f t="shared" ref="AY62:BO62" si="165">SUM(AY40)/SUM(AY51:AY53)</f>
        <v>2.1368902439024389</v>
      </c>
      <c r="AZ62" s="39">
        <f t="shared" si="165"/>
        <v>2.2072687525618253</v>
      </c>
      <c r="BA62" s="39">
        <f t="shared" si="165"/>
        <v>1.8359918200408998</v>
      </c>
      <c r="BB62" s="39">
        <f t="shared" si="165"/>
        <v>1.5215700141442716</v>
      </c>
      <c r="BC62" s="39">
        <f t="shared" si="165"/>
        <v>1.5032706459525755</v>
      </c>
      <c r="BD62" s="39">
        <f t="shared" si="165"/>
        <v>1.9091474024359929</v>
      </c>
      <c r="BE62" s="39">
        <f t="shared" si="165"/>
        <v>1.850559499458549</v>
      </c>
      <c r="BF62" s="39">
        <f t="shared" si="165"/>
        <v>1.6716354794375725</v>
      </c>
      <c r="BG62" s="39">
        <f t="shared" si="165"/>
        <v>2.5427147603227338</v>
      </c>
      <c r="BH62" s="39">
        <f t="shared" si="165"/>
        <v>3.6105097214923805</v>
      </c>
      <c r="BI62" s="39">
        <f t="shared" si="165"/>
        <v>3.7295506316007456</v>
      </c>
      <c r="BJ62" s="39">
        <f t="shared" si="165"/>
        <v>2.5673076923076925</v>
      </c>
      <c r="BK62" s="39">
        <f t="shared" si="165"/>
        <v>3.2626680455015515</v>
      </c>
      <c r="BL62" s="39">
        <f t="shared" si="165"/>
        <v>3.197872788542544</v>
      </c>
      <c r="BM62" s="39">
        <f t="shared" si="165"/>
        <v>2.3608882801800042</v>
      </c>
      <c r="BN62" s="39">
        <f t="shared" si="165"/>
        <v>1.692603105693772</v>
      </c>
      <c r="BO62" s="39">
        <f t="shared" si="165"/>
        <v>2.3783034559231195</v>
      </c>
      <c r="BP62" s="39">
        <f t="shared" ref="BP62:BU62" si="166">SUM(BP40)/SUM(BP51:BP53)</f>
        <v>2.8657684210526315</v>
      </c>
      <c r="BQ62" s="39">
        <f t="shared" si="166"/>
        <v>2.2674099208272738</v>
      </c>
      <c r="BR62" s="39">
        <f t="shared" si="166"/>
        <v>2.3883137143667565</v>
      </c>
      <c r="BS62" s="39">
        <f t="shared" si="166"/>
        <v>1.5885519752988679</v>
      </c>
      <c r="BT62" s="39">
        <f t="shared" si="166"/>
        <v>2.2042641539567196</v>
      </c>
      <c r="BU62" s="39">
        <f t="shared" si="166"/>
        <v>2.2449118046132974</v>
      </c>
      <c r="CM62" s="39">
        <f t="shared" ref="CM62:CO62" si="167">SUM(CM40)/SUM(CM51:CM53)</f>
        <v>1.5215700141442716</v>
      </c>
      <c r="CN62" s="39">
        <f t="shared" si="167"/>
        <v>1.6716354794375725</v>
      </c>
      <c r="CO62" s="39">
        <f t="shared" si="167"/>
        <v>2.5673076923076925</v>
      </c>
      <c r="CP62" s="39">
        <f>SUM(CP40)/SUM(CP51:CP53)</f>
        <v>1.692603105693772</v>
      </c>
      <c r="CQ62" s="39">
        <f>SUM(CQ40)/SUM(CQ51:CQ53)</f>
        <v>2.3883137143667565</v>
      </c>
      <c r="CS62" s="91" t="s">
        <v>1522</v>
      </c>
      <c r="CV62" s="82">
        <f>CV60*(1-CV61)</f>
        <v>0</v>
      </c>
      <c r="CZ62" s="58"/>
    </row>
    <row r="63" spans="2:157" ht="15">
      <c r="B63" s="1" t="s">
        <v>133</v>
      </c>
      <c r="AY63" s="39">
        <f t="shared" ref="AY63:BP63" si="168">AY18/AY49</f>
        <v>0.11196319018404906</v>
      </c>
      <c r="AZ63" s="39">
        <f t="shared" si="168"/>
        <v>0.11905342766528422</v>
      </c>
      <c r="BA63" s="39">
        <f t="shared" si="168"/>
        <v>0.10849195181915172</v>
      </c>
      <c r="BB63" s="39">
        <f t="shared" si="168"/>
        <v>0.11440396618122263</v>
      </c>
      <c r="BC63" s="39">
        <f t="shared" si="168"/>
        <v>0.10877067278868792</v>
      </c>
      <c r="BD63" s="39">
        <f t="shared" si="168"/>
        <v>0.11106408750282752</v>
      </c>
      <c r="BE63" s="39">
        <f t="shared" si="168"/>
        <v>0.11744832319027475</v>
      </c>
      <c r="BF63" s="39">
        <f t="shared" si="168"/>
        <v>0.12756281794357949</v>
      </c>
      <c r="BG63" s="39">
        <f t="shared" si="168"/>
        <v>0.12994514755002604</v>
      </c>
      <c r="BH63" s="39">
        <f t="shared" si="168"/>
        <v>0.12629375759711722</v>
      </c>
      <c r="BI63" s="39">
        <f t="shared" si="168"/>
        <v>0.11851665567842751</v>
      </c>
      <c r="BJ63" s="39">
        <f t="shared" si="168"/>
        <v>0.12487938191732563</v>
      </c>
      <c r="BK63" s="39">
        <f t="shared" si="168"/>
        <v>0.11944655041698259</v>
      </c>
      <c r="BL63" s="39">
        <f t="shared" si="168"/>
        <v>0.12071543973237078</v>
      </c>
      <c r="BM63" s="39">
        <f t="shared" si="168"/>
        <v>0.11486524566881205</v>
      </c>
      <c r="BN63" s="39">
        <f t="shared" si="168"/>
        <v>0.12876669938964527</v>
      </c>
      <c r="BO63" s="39">
        <f t="shared" si="168"/>
        <v>0.11724001581652831</v>
      </c>
      <c r="BP63" s="39">
        <f t="shared" si="168"/>
        <v>0.12101253769242977</v>
      </c>
      <c r="BQ63" s="39">
        <f t="shared" ref="BQ63:BR63" si="169">BQ18/BQ49</f>
        <v>0.12940398309201212</v>
      </c>
      <c r="BR63" s="39">
        <f t="shared" si="169"/>
        <v>0.14014575706178792</v>
      </c>
      <c r="BS63" s="39">
        <f t="shared" ref="BS63:BT63" si="170">BS18/BS49</f>
        <v>0.13777534682512058</v>
      </c>
      <c r="BT63" s="39">
        <f t="shared" si="170"/>
        <v>0.13854267457344585</v>
      </c>
      <c r="BU63" s="39">
        <f t="shared" ref="BU63" si="171">BU18/BU49</f>
        <v>0.15756288406179095</v>
      </c>
      <c r="CM63" s="39">
        <f>CM18/CM49</f>
        <v>0.42126658108686349</v>
      </c>
      <c r="CN63" s="39">
        <f>CN18/CN49</f>
        <v>0.47958994912902725</v>
      </c>
      <c r="CO63" s="39">
        <f>CO18/CO49</f>
        <v>0.46136659478152758</v>
      </c>
      <c r="CP63" s="39">
        <f>CP18/CP49</f>
        <v>0.44560694011694901</v>
      </c>
      <c r="CQ63" s="39">
        <f>CQ18/CQ49</f>
        <v>0.4919569669627103</v>
      </c>
      <c r="CS63" s="77"/>
      <c r="CT63" s="77"/>
      <c r="CU63" s="77"/>
      <c r="CV63" s="77"/>
      <c r="CW63" s="77"/>
      <c r="CX63" s="77"/>
      <c r="CY63" s="77"/>
      <c r="CZ63" s="77"/>
      <c r="DA63" s="77"/>
      <c r="DB63" s="92"/>
    </row>
    <row r="64" spans="2:157" ht="15">
      <c r="B64" s="1" t="s">
        <v>134</v>
      </c>
      <c r="AY64" s="39">
        <f t="shared" ref="AY64:BU64" si="172">AY19/AVERAGE(AV43:AY43)</f>
        <v>0.67527739251040231</v>
      </c>
      <c r="AZ64" s="39">
        <f t="shared" si="172"/>
        <v>0.76807675534234632</v>
      </c>
      <c r="BA64" s="39">
        <f t="shared" si="172"/>
        <v>0.74835393323322164</v>
      </c>
      <c r="BB64" s="39">
        <f t="shared" si="172"/>
        <v>0.84520163899072687</v>
      </c>
      <c r="BC64" s="39">
        <f t="shared" si="172"/>
        <v>0.7984298659539818</v>
      </c>
      <c r="BD64" s="39">
        <f t="shared" si="172"/>
        <v>0.78273832875637506</v>
      </c>
      <c r="BE64" s="39">
        <f t="shared" si="172"/>
        <v>0.72154790803941171</v>
      </c>
      <c r="BF64" s="39">
        <f t="shared" si="172"/>
        <v>0.70041515141762956</v>
      </c>
      <c r="BG64" s="39">
        <f t="shared" si="172"/>
        <v>0.68593607574465587</v>
      </c>
      <c r="BH64" s="39">
        <f t="shared" si="172"/>
        <v>0.63442057521523043</v>
      </c>
      <c r="BI64" s="39">
        <f t="shared" si="172"/>
        <v>0.5775829680651221</v>
      </c>
      <c r="BJ64" s="39">
        <f t="shared" si="172"/>
        <v>0.6026991365540868</v>
      </c>
      <c r="BK64" s="39">
        <f t="shared" si="172"/>
        <v>0.55232632795445802</v>
      </c>
      <c r="BL64" s="39">
        <f t="shared" si="172"/>
        <v>0.50458297863916235</v>
      </c>
      <c r="BM64" s="39">
        <f t="shared" si="172"/>
        <v>0.49332466809024234</v>
      </c>
      <c r="BN64" s="39">
        <f t="shared" si="172"/>
        <v>0.5458502149643496</v>
      </c>
      <c r="BO64" s="39">
        <f t="shared" si="172"/>
        <v>0.53887308682107549</v>
      </c>
      <c r="BP64" s="39">
        <f t="shared" si="172"/>
        <v>0.53128685677356813</v>
      </c>
      <c r="BQ64" s="39">
        <f t="shared" si="172"/>
        <v>0.51940767678012845</v>
      </c>
      <c r="BR64" s="39">
        <f t="shared" si="172"/>
        <v>0.56230909755206426</v>
      </c>
      <c r="BS64" s="39">
        <f t="shared" si="172"/>
        <v>0.51993364666850983</v>
      </c>
      <c r="BT64" s="39">
        <f t="shared" si="172"/>
        <v>0.49075134615637794</v>
      </c>
      <c r="BU64" s="39">
        <f t="shared" si="172"/>
        <v>0.48572148073533111</v>
      </c>
      <c r="CM64" s="39">
        <f>CM19/AVERAGE(CJ43:CM43)</f>
        <v>2.9834781127576218</v>
      </c>
      <c r="CN64" s="39">
        <f>CN19/AVERAGE(CK43:CN43)</f>
        <v>2.7375531986759438</v>
      </c>
      <c r="CO64" s="39">
        <f>CO19/AVERAGE(CL43:CO43)</f>
        <v>2.6597800733088968</v>
      </c>
      <c r="CP64" s="39">
        <f>CP19/AVERAGE(CM43:CP43)</f>
        <v>2.595831045103985</v>
      </c>
      <c r="CQ64" s="39">
        <f>CQ19/AVERAGE(CN43:CQ43)</f>
        <v>2.5160080867487595</v>
      </c>
      <c r="CS64" s="34" t="s">
        <v>1523</v>
      </c>
      <c r="CV64" s="82">
        <f>(CV50*CV57)+(CV49*CV62*(1-CV61))</f>
        <v>0.13664211000000001</v>
      </c>
      <c r="CW64" s="77"/>
      <c r="CX64" s="77"/>
      <c r="CY64" s="77"/>
      <c r="CZ64" s="77"/>
      <c r="DA64" s="77"/>
      <c r="DB64" s="77"/>
    </row>
    <row r="65" spans="2:157">
      <c r="B65" s="1" t="s">
        <v>135</v>
      </c>
      <c r="AY65" s="46">
        <f t="shared" ref="AY65:BP65" si="173">AY27/AY49</f>
        <v>3.7710997885688519E-2</v>
      </c>
      <c r="AZ65" s="46">
        <f t="shared" si="173"/>
        <v>4.253069854436041E-2</v>
      </c>
      <c r="BA65" s="46">
        <f t="shared" si="173"/>
        <v>2.9935212530731527E-2</v>
      </c>
      <c r="BB65" s="46">
        <f t="shared" si="173"/>
        <v>2.8233957475690925E-2</v>
      </c>
      <c r="BC65" s="46">
        <f t="shared" si="173"/>
        <v>2.700805708687324E-2</v>
      </c>
      <c r="BD65" s="46">
        <f t="shared" si="173"/>
        <v>2.2882660693046921E-2</v>
      </c>
      <c r="BE65" s="46">
        <f t="shared" si="173"/>
        <v>2.4486625491127657E-2</v>
      </c>
      <c r="BF65" s="46">
        <f t="shared" si="173"/>
        <v>2.5951903807615233E-2</v>
      </c>
      <c r="BG65" s="46">
        <f t="shared" si="173"/>
        <v>2.764073177458401E-2</v>
      </c>
      <c r="BH65" s="46">
        <f t="shared" si="173"/>
        <v>3.0640207720469242E-2</v>
      </c>
      <c r="BI65" s="46">
        <f t="shared" si="173"/>
        <v>2.8533172021450882E-2</v>
      </c>
      <c r="BJ65" s="46">
        <f t="shared" si="173"/>
        <v>3.954977883986454E-2</v>
      </c>
      <c r="BK65" s="46">
        <f t="shared" si="173"/>
        <v>3.4584281020975494E-2</v>
      </c>
      <c r="BL65" s="46">
        <f t="shared" si="173"/>
        <v>3.1922113646328215E-2</v>
      </c>
      <c r="BM65" s="46">
        <f t="shared" si="173"/>
        <v>3.2158436376342747E-2</v>
      </c>
      <c r="BN65" s="46">
        <f t="shared" si="173"/>
        <v>3.6706645610141281E-2</v>
      </c>
      <c r="BO65" s="46">
        <f t="shared" si="173"/>
        <v>3.6612141266570954E-2</v>
      </c>
      <c r="BP65" s="46">
        <f t="shared" si="173"/>
        <v>3.2941199809554046E-2</v>
      </c>
      <c r="BQ65" s="46">
        <f t="shared" ref="BQ65:BR65" si="174">BQ27/BQ49</f>
        <v>3.6616748829566233E-2</v>
      </c>
      <c r="BR65" s="46">
        <f t="shared" si="174"/>
        <v>3.9161823576278058E-2</v>
      </c>
      <c r="BS65" s="46">
        <f t="shared" ref="BS65:BT65" si="175">BS27/BS49</f>
        <v>4.1072050121823897E-2</v>
      </c>
      <c r="BT65" s="46">
        <f t="shared" si="175"/>
        <v>3.9431708228351361E-2</v>
      </c>
      <c r="BU65" s="46">
        <f t="shared" ref="BU65" si="176">BU27/BU49</f>
        <v>2.7102035753600921E-2</v>
      </c>
      <c r="CM65" s="46">
        <f>CM27/CM49</f>
        <v>0.1274917740102991</v>
      </c>
      <c r="CN65" s="46">
        <f>CN27/CN49</f>
        <v>0.10362262987513489</v>
      </c>
      <c r="CO65" s="46">
        <f>CO27/CO49</f>
        <v>0.11769086799686559</v>
      </c>
      <c r="CP65" s="46">
        <f>CP27/CP49</f>
        <v>0.12471189551410641</v>
      </c>
      <c r="CQ65" s="46">
        <f>CQ27/CQ49</f>
        <v>0.14065898615259034</v>
      </c>
    </row>
    <row r="66" spans="2:157">
      <c r="B66" s="1" t="s">
        <v>136</v>
      </c>
      <c r="AY66" s="46">
        <f t="shared" ref="AY66:BP66" si="177">AY27/AY57</f>
        <v>4.2707699554473892E-2</v>
      </c>
      <c r="AZ66" s="46">
        <f t="shared" si="177"/>
        <v>4.807206213520842E-2</v>
      </c>
      <c r="BA66" s="46">
        <f t="shared" si="177"/>
        <v>3.3787085514834211E-2</v>
      </c>
      <c r="BB66" s="46">
        <f t="shared" si="177"/>
        <v>3.2021085219428543E-2</v>
      </c>
      <c r="BC66" s="46">
        <f t="shared" si="177"/>
        <v>3.038828562026983E-2</v>
      </c>
      <c r="BD66" s="46">
        <f t="shared" si="177"/>
        <v>2.5955108256637768E-2</v>
      </c>
      <c r="BE66" s="46">
        <f t="shared" si="177"/>
        <v>2.8056683660243675E-2</v>
      </c>
      <c r="BF66" s="46">
        <f t="shared" si="177"/>
        <v>3.0298939942047774E-2</v>
      </c>
      <c r="BG66" s="46">
        <f t="shared" si="177"/>
        <v>3.1945034707465646E-2</v>
      </c>
      <c r="BH66" s="46">
        <f t="shared" si="177"/>
        <v>3.5619622565783424E-2</v>
      </c>
      <c r="BI66" s="46">
        <f t="shared" si="177"/>
        <v>3.3255436289460164E-2</v>
      </c>
      <c r="BJ66" s="46">
        <f t="shared" si="177"/>
        <v>4.5584832425169836E-2</v>
      </c>
      <c r="BK66" s="46">
        <f t="shared" si="177"/>
        <v>3.8971949309411939E-2</v>
      </c>
      <c r="BL66" s="46">
        <f t="shared" si="177"/>
        <v>3.59206569121076E-2</v>
      </c>
      <c r="BM66" s="46">
        <f t="shared" si="177"/>
        <v>3.639610907351299E-2</v>
      </c>
      <c r="BN66" s="46">
        <f t="shared" si="177"/>
        <v>4.1622301810086165E-2</v>
      </c>
      <c r="BO66" s="46">
        <f t="shared" si="177"/>
        <v>4.0896146916952411E-2</v>
      </c>
      <c r="BP66" s="46">
        <f t="shared" si="177"/>
        <v>3.6996396165564736E-2</v>
      </c>
      <c r="BQ66" s="46">
        <f t="shared" ref="BQ66:BR66" si="178">BQ27/BQ57</f>
        <v>4.1579626804365673E-2</v>
      </c>
      <c r="BR66" s="46">
        <f t="shared" si="178"/>
        <v>4.465574611101511E-2</v>
      </c>
      <c r="BS66" s="46">
        <f t="shared" ref="BS66:BT66" si="179">BS27/BS57</f>
        <v>4.6939285795467481E-2</v>
      </c>
      <c r="BT66" s="46">
        <f t="shared" si="179"/>
        <v>4.4989260945364727E-2</v>
      </c>
      <c r="BU66" s="46">
        <f t="shared" ref="BU66" si="180">BU27/BU57</f>
        <v>3.2535457692737198E-2</v>
      </c>
      <c r="CM66" s="46">
        <f>CM27/CM57</f>
        <v>0.14459272894615741</v>
      </c>
      <c r="CN66" s="46">
        <f>CN27/CN57</f>
        <v>0.12097978870831311</v>
      </c>
      <c r="CO66" s="46">
        <f>CO27/CO57</f>
        <v>0.13564977233709044</v>
      </c>
      <c r="CP66" s="46">
        <f>CP27/CP57</f>
        <v>0.14141298035040173</v>
      </c>
      <c r="CQ66" s="46">
        <f>CQ27/CQ57</f>
        <v>0.16039171315984549</v>
      </c>
    </row>
    <row r="67" spans="2:157">
      <c r="BP67" s="1"/>
      <c r="BQ67" s="1"/>
    </row>
    <row r="68" spans="2:157">
      <c r="B68" s="1" t="s">
        <v>137</v>
      </c>
      <c r="C68" s="45">
        <f>C27</f>
        <v>28.099999999999987</v>
      </c>
      <c r="D68" s="45">
        <f t="shared" ref="D68:AV68" si="181">D27</f>
        <v>62.400000000000034</v>
      </c>
      <c r="E68" s="45">
        <f t="shared" si="181"/>
        <v>64.500000000000028</v>
      </c>
      <c r="F68" s="45">
        <f t="shared" si="181"/>
        <v>77.600000000000023</v>
      </c>
      <c r="G68" s="45">
        <f t="shared" si="181"/>
        <v>85.30000000000004</v>
      </c>
      <c r="H68" s="45">
        <f t="shared" si="181"/>
        <v>88.69999999999996</v>
      </c>
      <c r="I68" s="45">
        <f t="shared" si="181"/>
        <v>86.599999999999966</v>
      </c>
      <c r="J68" s="45">
        <f t="shared" si="181"/>
        <v>121.20000000000002</v>
      </c>
      <c r="K68" s="45">
        <f t="shared" si="181"/>
        <v>104.10000000000002</v>
      </c>
      <c r="L68" s="45">
        <f t="shared" si="181"/>
        <v>117.40000000000002</v>
      </c>
      <c r="M68" s="45">
        <f t="shared" si="181"/>
        <v>122.4</v>
      </c>
      <c r="N68" s="45">
        <f t="shared" si="181"/>
        <v>151.19999999999996</v>
      </c>
      <c r="O68" s="45">
        <f t="shared" si="181"/>
        <v>143.5</v>
      </c>
      <c r="P68" s="45">
        <f t="shared" si="181"/>
        <v>154.89999999999995</v>
      </c>
      <c r="Q68" s="45">
        <f t="shared" si="181"/>
        <v>183.29999999999998</v>
      </c>
      <c r="R68" s="45">
        <f t="shared" si="181"/>
        <v>174.89999999999995</v>
      </c>
      <c r="S68" s="45">
        <f t="shared" si="181"/>
        <v>188.89999999999998</v>
      </c>
      <c r="T68" s="45">
        <f t="shared" si="181"/>
        <v>159.10000000000002</v>
      </c>
      <c r="U68" s="45">
        <f t="shared" si="181"/>
        <v>156.79999999999998</v>
      </c>
      <c r="V68" s="45">
        <f t="shared" si="181"/>
        <v>166.2000000000001</v>
      </c>
      <c r="W68" s="45">
        <f t="shared" si="181"/>
        <v>44.299999999999969</v>
      </c>
      <c r="X68" s="45">
        <f t="shared" si="181"/>
        <v>104.00000000000006</v>
      </c>
      <c r="Y68" s="45">
        <f t="shared" si="181"/>
        <v>123.70000000000002</v>
      </c>
      <c r="Z68" s="45">
        <f t="shared" si="181"/>
        <v>146.80000000000001</v>
      </c>
      <c r="AA68" s="45">
        <f t="shared" si="181"/>
        <v>97.000000000000014</v>
      </c>
      <c r="AB68" s="45">
        <f t="shared" si="181"/>
        <v>134.49999999999997</v>
      </c>
      <c r="AC68" s="45">
        <f t="shared" si="181"/>
        <v>167.30000000000004</v>
      </c>
      <c r="AD68" s="45">
        <f t="shared" si="181"/>
        <v>190</v>
      </c>
      <c r="AE68" s="45">
        <f t="shared" si="181"/>
        <v>136.4</v>
      </c>
      <c r="AF68" s="45">
        <f t="shared" si="181"/>
        <v>184.50000000000003</v>
      </c>
      <c r="AG68" s="45">
        <f t="shared" si="181"/>
        <v>210.99999999999994</v>
      </c>
      <c r="AH68" s="45">
        <f t="shared" si="181"/>
        <v>206.39999999999998</v>
      </c>
      <c r="AI68" s="45">
        <f t="shared" si="181"/>
        <v>180.8</v>
      </c>
      <c r="AJ68" s="45">
        <f t="shared" si="181"/>
        <v>222.99999999999994</v>
      </c>
      <c r="AK68" s="45">
        <f t="shared" si="181"/>
        <v>298.59999999999991</v>
      </c>
      <c r="AL68" s="45">
        <f t="shared" si="181"/>
        <v>-31.5</v>
      </c>
      <c r="AM68" s="45">
        <f t="shared" si="181"/>
        <v>287.2999999999999</v>
      </c>
      <c r="AN68" s="45">
        <f t="shared" si="181"/>
        <v>254.59999999999997</v>
      </c>
      <c r="AO68" s="45">
        <f t="shared" si="181"/>
        <v>291.79999999999995</v>
      </c>
      <c r="AP68" s="45">
        <f t="shared" si="181"/>
        <v>291.3</v>
      </c>
      <c r="AQ68" s="45">
        <f t="shared" si="181"/>
        <v>304.00000000000006</v>
      </c>
      <c r="AR68" s="45">
        <f t="shared" si="181"/>
        <v>316.40000000000009</v>
      </c>
      <c r="AS68" s="45">
        <f t="shared" si="181"/>
        <v>398.70000000000005</v>
      </c>
      <c r="AT68" s="45">
        <f t="shared" si="181"/>
        <v>362.70000000000005</v>
      </c>
      <c r="AU68" s="45">
        <f t="shared" si="181"/>
        <v>316</v>
      </c>
      <c r="AV68" s="45">
        <f t="shared" si="181"/>
        <v>70.199999999999903</v>
      </c>
      <c r="AW68" s="45">
        <f t="shared" ref="AW68:BP68" si="182">AW27</f>
        <v>316.80000000000013</v>
      </c>
      <c r="AX68" s="45">
        <f t="shared" si="182"/>
        <v>363.79999999999995</v>
      </c>
      <c r="AY68" s="45">
        <f t="shared" si="182"/>
        <v>435.19999999999987</v>
      </c>
      <c r="AZ68" s="45">
        <f t="shared" si="182"/>
        <v>523</v>
      </c>
      <c r="BA68" s="45">
        <f t="shared" si="182"/>
        <v>387.20000000000005</v>
      </c>
      <c r="BB68" s="45">
        <f t="shared" si="182"/>
        <v>382.70000000000022</v>
      </c>
      <c r="BC68" s="45">
        <f t="shared" si="182"/>
        <v>369.40000000000003</v>
      </c>
      <c r="BD68" s="45">
        <f t="shared" si="182"/>
        <v>313.60000000000014</v>
      </c>
      <c r="BE68" s="45">
        <f t="shared" si="182"/>
        <v>324.70000000000005</v>
      </c>
      <c r="BF68" s="45">
        <f t="shared" si="182"/>
        <v>336.7000000000001</v>
      </c>
      <c r="BG68" s="45">
        <f t="shared" si="182"/>
        <v>360.8</v>
      </c>
      <c r="BH68" s="45">
        <f t="shared" si="182"/>
        <v>426.00000000000006</v>
      </c>
      <c r="BI68" s="45">
        <f t="shared" si="182"/>
        <v>419.80000000000035</v>
      </c>
      <c r="BJ68" s="45">
        <f t="shared" si="182"/>
        <v>610.70000000000027</v>
      </c>
      <c r="BK68" s="45">
        <f t="shared" si="182"/>
        <v>547.40000000000009</v>
      </c>
      <c r="BL68" s="45">
        <f t="shared" si="182"/>
        <v>531.50000000000011</v>
      </c>
      <c r="BM68" s="45">
        <f t="shared" si="182"/>
        <v>570.59999999999991</v>
      </c>
      <c r="BN68" s="45">
        <f t="shared" si="182"/>
        <v>688.00000000000023</v>
      </c>
      <c r="BO68" s="45">
        <f t="shared" si="182"/>
        <v>703.70000000000016</v>
      </c>
      <c r="BP68" s="45">
        <f t="shared" si="182"/>
        <v>664.20000000000016</v>
      </c>
      <c r="BQ68" s="45">
        <f t="shared" ref="BQ68:BR68" si="183">BQ27</f>
        <v>708.5999999999998</v>
      </c>
      <c r="BR68" s="45">
        <f t="shared" si="183"/>
        <v>801.19999999999982</v>
      </c>
      <c r="BS68" s="45">
        <f t="shared" ref="BS68:BT68" si="184">BS27</f>
        <v>826.00000000000034</v>
      </c>
      <c r="BT68" s="45">
        <f t="shared" si="184"/>
        <v>823.20000000000016</v>
      </c>
      <c r="BU68" s="45">
        <f t="shared" ref="BU68" si="185">BU27</f>
        <v>524.39999999999964</v>
      </c>
      <c r="CA68" s="45">
        <f t="shared" ref="CA68" si="186">SUM(C68:F68)</f>
        <v>232.60000000000008</v>
      </c>
      <c r="CB68" s="45">
        <f t="shared" ref="CB68" si="187">SUM(G68:J68)</f>
        <v>381.79999999999995</v>
      </c>
      <c r="CC68" s="45">
        <f t="shared" ref="CC68" si="188">SUM(K68:N68)</f>
        <v>495.1</v>
      </c>
      <c r="CD68" s="45">
        <f t="shared" ref="CD68" si="189">SUM(O68:R68)</f>
        <v>656.59999999999991</v>
      </c>
      <c r="CE68" s="45">
        <f t="shared" ref="CE68" si="190">SUM(S68:V68)</f>
        <v>671</v>
      </c>
      <c r="CF68" s="45">
        <f t="shared" ref="CF68" si="191">SUM(W68:Z68)</f>
        <v>418.8</v>
      </c>
      <c r="CG68" s="45">
        <f t="shared" ref="CG68" si="192">SUM(AA68:AD68)</f>
        <v>588.80000000000007</v>
      </c>
      <c r="CH68" s="45">
        <f t="shared" ref="CH68" si="193">SUM(AE68:AH68)</f>
        <v>738.3</v>
      </c>
      <c r="CI68" s="45">
        <f t="shared" ref="CI68" si="194">SUM(AI68:AL68)</f>
        <v>670.89999999999986</v>
      </c>
      <c r="CJ68" s="45">
        <f t="shared" ref="CJ68" si="195">SUM(AM68:AP68)</f>
        <v>1124.9999999999998</v>
      </c>
      <c r="CK68" s="45">
        <f t="shared" ref="CK68" si="196">SUM(AQ68:AT68)</f>
        <v>1381.8000000000002</v>
      </c>
      <c r="CL68" s="45">
        <f>SUM(AU68:AX68)</f>
        <v>1066.8</v>
      </c>
      <c r="CM68" s="45">
        <f>SUM(AY68:BB68)</f>
        <v>1728.1000000000001</v>
      </c>
      <c r="CN68" s="45">
        <f>SUM(BC68:BF68)</f>
        <v>1344.4000000000003</v>
      </c>
      <c r="CO68" s="45">
        <f>SUM(BG68:BJ68)</f>
        <v>1817.3000000000006</v>
      </c>
      <c r="CP68" s="45">
        <f>SUM(BK68:BN68)</f>
        <v>2337.5</v>
      </c>
      <c r="CQ68" s="45">
        <f>CQ27</f>
        <v>2877.7</v>
      </c>
    </row>
    <row r="69" spans="2:157" s="2" customFormat="1" ht="15">
      <c r="B69" s="47" t="s">
        <v>138</v>
      </c>
      <c r="C69" s="47">
        <v>90.1</v>
      </c>
      <c r="D69" s="47">
        <v>83</v>
      </c>
      <c r="E69" s="47">
        <v>96.3</v>
      </c>
      <c r="F69" s="47">
        <v>122.8</v>
      </c>
      <c r="G69" s="47">
        <v>115.6</v>
      </c>
      <c r="H69" s="47">
        <v>175.5</v>
      </c>
      <c r="I69" s="47">
        <v>113</v>
      </c>
      <c r="J69" s="47">
        <v>141.69999999999999</v>
      </c>
      <c r="K69" s="47">
        <v>95.2</v>
      </c>
      <c r="L69" s="47">
        <v>211.1</v>
      </c>
      <c r="M69" s="47">
        <v>157.6</v>
      </c>
      <c r="N69" s="47">
        <v>213.7</v>
      </c>
      <c r="O69" s="47">
        <v>165</v>
      </c>
      <c r="P69" s="47">
        <v>210.8</v>
      </c>
      <c r="Q69" s="47">
        <v>211.6</v>
      </c>
      <c r="R69" s="47">
        <v>226.8</v>
      </c>
      <c r="S69" s="47">
        <v>258</v>
      </c>
      <c r="T69" s="47">
        <v>189.1</v>
      </c>
      <c r="U69" s="47">
        <v>203.8</v>
      </c>
      <c r="V69" s="47">
        <v>229.1</v>
      </c>
      <c r="W69" s="47">
        <v>166.3</v>
      </c>
      <c r="X69" s="47">
        <v>154</v>
      </c>
      <c r="Y69" s="47">
        <v>150.6</v>
      </c>
      <c r="Z69" s="47">
        <v>194.2</v>
      </c>
      <c r="AA69" s="47">
        <v>123.7</v>
      </c>
      <c r="AB69" s="47">
        <v>185.1</v>
      </c>
      <c r="AC69" s="47">
        <v>179.7</v>
      </c>
      <c r="AD69" s="47">
        <v>317.7</v>
      </c>
      <c r="AE69" s="47">
        <v>226.8</v>
      </c>
      <c r="AF69" s="47">
        <v>261.7</v>
      </c>
      <c r="AG69" s="47">
        <v>268.8</v>
      </c>
      <c r="AH69" s="47">
        <v>329.7</v>
      </c>
      <c r="AI69" s="47">
        <v>241.5</v>
      </c>
      <c r="AJ69" s="47">
        <v>216.5</v>
      </c>
      <c r="AK69" s="47">
        <v>353.9</v>
      </c>
      <c r="AL69" s="47">
        <v>332</v>
      </c>
      <c r="AM69" s="47">
        <v>280.2</v>
      </c>
      <c r="AN69" s="47">
        <v>231.5</v>
      </c>
      <c r="AO69" s="47">
        <v>319.8</v>
      </c>
      <c r="AP69" s="47">
        <v>338.1</v>
      </c>
      <c r="AQ69" s="47">
        <v>333.2</v>
      </c>
      <c r="AR69" s="47">
        <v>316</v>
      </c>
      <c r="AS69" s="47">
        <v>396.3</v>
      </c>
      <c r="AT69" s="47">
        <v>552.70000000000005</v>
      </c>
      <c r="AU69" s="47">
        <v>352.8</v>
      </c>
      <c r="AV69" s="47">
        <v>229.9</v>
      </c>
      <c r="AW69" s="47">
        <v>274.60000000000002</v>
      </c>
      <c r="AX69" s="47">
        <v>627.5</v>
      </c>
      <c r="AY69" s="47">
        <v>477.6</v>
      </c>
      <c r="AZ69" s="47">
        <v>542.70000000000005</v>
      </c>
      <c r="BA69" s="47">
        <v>501.4</v>
      </c>
      <c r="BB69" s="47">
        <v>567.70000000000005</v>
      </c>
      <c r="BC69" s="47">
        <v>223</v>
      </c>
      <c r="BD69" s="47">
        <v>446.7</v>
      </c>
      <c r="BE69" s="47">
        <v>383.2</v>
      </c>
      <c r="BF69" s="47">
        <v>437.9</v>
      </c>
      <c r="BG69" s="47">
        <v>371.4</v>
      </c>
      <c r="BH69" s="47">
        <v>665.7</v>
      </c>
      <c r="BI69" s="47">
        <v>548.4</v>
      </c>
      <c r="BJ69" s="47">
        <v>228.3</v>
      </c>
      <c r="BK69" s="47">
        <v>265.39999999999998</v>
      </c>
      <c r="BL69" s="47">
        <v>620.5</v>
      </c>
      <c r="BM69" s="47">
        <v>706.5</v>
      </c>
      <c r="BN69" s="47">
        <v>822.6</v>
      </c>
      <c r="BO69" s="47">
        <v>581.6</v>
      </c>
      <c r="BP69" s="47">
        <f>1297-BO69</f>
        <v>715.4</v>
      </c>
      <c r="BQ69" s="47">
        <f>2138-SUM(BO69:BP69)</f>
        <v>841</v>
      </c>
      <c r="BR69" s="47">
        <f>3030.5-SUM(BO69:BQ69)</f>
        <v>892.5</v>
      </c>
      <c r="BS69" s="47">
        <v>911.9</v>
      </c>
      <c r="BT69" s="47">
        <v>1061</v>
      </c>
      <c r="BU69" s="47">
        <f>3197-BT69-BS69</f>
        <v>1224.0999999999999</v>
      </c>
      <c r="BV69" s="34"/>
      <c r="BW69" s="34"/>
      <c r="BX69" s="34"/>
      <c r="BY69" s="34"/>
      <c r="CA69" s="47">
        <f t="shared" ref="CA69:CA73" si="197">SUM(C69:F69)</f>
        <v>392.2</v>
      </c>
      <c r="CB69" s="47">
        <f t="shared" ref="CB69:CB73" si="198">SUM(G69:J69)</f>
        <v>545.79999999999995</v>
      </c>
      <c r="CC69" s="47">
        <f t="shared" ref="CC69:CC73" si="199">SUM(K69:N69)</f>
        <v>677.59999999999991</v>
      </c>
      <c r="CD69" s="47">
        <f t="shared" ref="CD69:CD73" si="200">SUM(O69:R69)</f>
        <v>814.2</v>
      </c>
      <c r="CE69" s="47">
        <f t="shared" ref="CE69:CE73" si="201">SUM(S69:V69)</f>
        <v>880.00000000000011</v>
      </c>
      <c r="CF69" s="47">
        <f t="shared" ref="CF69:CF73" si="202">SUM(W69:Z69)</f>
        <v>665.09999999999991</v>
      </c>
      <c r="CG69" s="47">
        <f t="shared" ref="CG69:CG73" si="203">SUM(AA69:AD69)</f>
        <v>806.2</v>
      </c>
      <c r="CH69" s="47">
        <f t="shared" ref="CH69:CH73" si="204">SUM(AE69:AH69)</f>
        <v>1087</v>
      </c>
      <c r="CI69" s="47">
        <f t="shared" ref="CI69:CI73" si="205">SUM(AI69:AL69)</f>
        <v>1143.9000000000001</v>
      </c>
      <c r="CJ69" s="47">
        <f t="shared" ref="CJ69:CJ73" si="206">SUM(AM69:AP69)</f>
        <v>1169.5999999999999</v>
      </c>
      <c r="CK69" s="47">
        <f t="shared" ref="CK69:CK73" si="207">SUM(AQ69:AT69)</f>
        <v>1598.2</v>
      </c>
      <c r="CL69" s="47">
        <f t="shared" ref="CL69:CL73" si="208">SUM(AU69:AX69)</f>
        <v>1484.8000000000002</v>
      </c>
      <c r="CM69" s="47">
        <f>SUM(AY69:BB69)</f>
        <v>2089.4</v>
      </c>
      <c r="CN69" s="47">
        <f>SUM(BC69:BF69)</f>
        <v>1490.8000000000002</v>
      </c>
      <c r="CO69" s="47">
        <f>SUM(BG69:BJ69)</f>
        <v>1813.8</v>
      </c>
      <c r="CP69" s="47">
        <f>SUM(BK69:BN69)</f>
        <v>2415</v>
      </c>
      <c r="CQ69" s="47">
        <f>SUM(BO69:BR69)</f>
        <v>3030.5</v>
      </c>
      <c r="CR69" s="34"/>
      <c r="CS69" s="34"/>
      <c r="CT69" s="34"/>
      <c r="CU69" s="34"/>
      <c r="CV69" s="34"/>
      <c r="CW69" s="34"/>
      <c r="CX69" s="34"/>
      <c r="CY69" s="34"/>
      <c r="CZ69" s="34"/>
      <c r="DA69" s="34"/>
      <c r="DB69" s="34"/>
      <c r="DC69" s="34"/>
      <c r="DD69" s="34"/>
      <c r="DE69" s="34"/>
      <c r="DF69" s="34"/>
      <c r="DG69" s="34"/>
      <c r="DH69" s="34"/>
      <c r="DI69" s="34"/>
      <c r="DJ69" s="34"/>
      <c r="DK69" s="34"/>
      <c r="DL69" s="34"/>
      <c r="DM69" s="34"/>
      <c r="DN69" s="34"/>
      <c r="DO69" s="34"/>
      <c r="DP69" s="34"/>
      <c r="DQ69" s="34"/>
      <c r="DR69" s="34"/>
      <c r="DS69" s="34"/>
      <c r="DT69" s="34"/>
      <c r="DU69" s="34"/>
      <c r="DV69" s="34"/>
      <c r="DW69" s="34"/>
      <c r="DX69" s="34"/>
      <c r="DY69" s="34"/>
      <c r="DZ69" s="34"/>
      <c r="EA69" s="34"/>
      <c r="EB69" s="34"/>
      <c r="EC69" s="34"/>
      <c r="ED69" s="34"/>
      <c r="EE69" s="34"/>
      <c r="EF69" s="34"/>
      <c r="EG69" s="34"/>
      <c r="EH69" s="34"/>
      <c r="EI69" s="34"/>
      <c r="EJ69" s="34"/>
      <c r="EK69" s="34"/>
      <c r="EL69" s="34"/>
      <c r="EM69" s="34"/>
      <c r="EN69" s="34"/>
      <c r="EO69" s="34"/>
      <c r="EP69" s="34"/>
      <c r="EQ69" s="34"/>
      <c r="ER69" s="34"/>
      <c r="ES69" s="34"/>
      <c r="ET69" s="34"/>
      <c r="EU69" s="34"/>
      <c r="EV69" s="34"/>
      <c r="EW69" s="34"/>
      <c r="EX69" s="34"/>
      <c r="EY69" s="34"/>
      <c r="EZ69" s="34"/>
      <c r="FA69" s="34"/>
    </row>
    <row r="70" spans="2:157">
      <c r="B70" s="1" t="s">
        <v>139</v>
      </c>
      <c r="C70" s="1">
        <v>-13.1</v>
      </c>
      <c r="D70" s="1">
        <v>-14.6</v>
      </c>
      <c r="E70" s="1">
        <v>-13.8</v>
      </c>
      <c r="F70" s="1">
        <v>-26.3</v>
      </c>
      <c r="G70" s="1">
        <v>-14.2</v>
      </c>
      <c r="H70" s="1">
        <v>-13.4</v>
      </c>
      <c r="I70" s="1">
        <v>-16.899999999999999</v>
      </c>
      <c r="J70" s="1">
        <v>-14.3</v>
      </c>
      <c r="K70" s="1">
        <v>-14.7</v>
      </c>
      <c r="L70" s="1">
        <v>-38.5</v>
      </c>
      <c r="M70" s="1">
        <v>-14.5</v>
      </c>
      <c r="N70" s="1">
        <v>-15.2</v>
      </c>
      <c r="O70" s="1">
        <v>-48.3</v>
      </c>
      <c r="P70" s="1">
        <v>-8.1</v>
      </c>
      <c r="Q70" s="1">
        <v>12.9</v>
      </c>
      <c r="R70" s="1">
        <v>-70.7</v>
      </c>
      <c r="S70" s="1">
        <v>-16.7</v>
      </c>
      <c r="T70" s="1">
        <v>-25</v>
      </c>
      <c r="U70" s="1">
        <v>-34</v>
      </c>
      <c r="V70" s="1">
        <v>-28.9</v>
      </c>
      <c r="W70" s="1">
        <v>-8.1</v>
      </c>
      <c r="X70" s="1">
        <v>-18.5</v>
      </c>
      <c r="Y70" s="1">
        <v>-13.8</v>
      </c>
      <c r="Z70" s="1">
        <v>-65.2</v>
      </c>
      <c r="AA70" s="1">
        <v>-19.2</v>
      </c>
      <c r="AB70" s="1">
        <v>-13.6</v>
      </c>
      <c r="AC70" s="1">
        <v>-28.5</v>
      </c>
      <c r="AD70" s="1">
        <v>-19.7</v>
      </c>
      <c r="AE70" s="1">
        <v>-9.6</v>
      </c>
      <c r="AF70" s="1">
        <v>-11.4</v>
      </c>
      <c r="AG70" s="1">
        <v>-15.1</v>
      </c>
      <c r="AH70" s="1">
        <v>-17.8</v>
      </c>
      <c r="AI70" s="1">
        <v>-53</v>
      </c>
      <c r="AJ70" s="1">
        <v>-55.3</v>
      </c>
      <c r="AK70" s="1">
        <v>-51.4</v>
      </c>
      <c r="AL70" s="1">
        <v>-31</v>
      </c>
      <c r="AM70" s="1">
        <v>-40.1</v>
      </c>
      <c r="AN70" s="1">
        <v>-44.8</v>
      </c>
      <c r="AO70" s="1">
        <v>-47</v>
      </c>
      <c r="AP70" s="1">
        <v>-55.5</v>
      </c>
      <c r="AQ70" s="1">
        <v>-114.8</v>
      </c>
      <c r="AR70" s="1">
        <v>-82</v>
      </c>
      <c r="AS70" s="1">
        <v>-87</v>
      </c>
      <c r="AT70" s="1">
        <v>-142</v>
      </c>
      <c r="AU70" s="45">
        <v>-105.2</v>
      </c>
      <c r="AV70" s="45">
        <v>-110</v>
      </c>
      <c r="AW70" s="45">
        <v>-64.400000000000006</v>
      </c>
      <c r="AX70" s="45">
        <v>-61.9</v>
      </c>
      <c r="AY70" s="45">
        <v>-58.6</v>
      </c>
      <c r="AZ70" s="45">
        <v>-75.7</v>
      </c>
      <c r="BA70" s="45">
        <v>-68.3</v>
      </c>
      <c r="BB70" s="45">
        <v>-136.9</v>
      </c>
      <c r="BC70" s="45">
        <v>-93.6</v>
      </c>
      <c r="BD70" s="45">
        <v>-130.5</v>
      </c>
      <c r="BE70" s="45">
        <v>-169.1</v>
      </c>
      <c r="BF70" s="45">
        <v>-139.19999999999999</v>
      </c>
      <c r="BG70" s="45">
        <v>-194.1</v>
      </c>
      <c r="BH70" s="45">
        <v>-178.3</v>
      </c>
      <c r="BI70" s="45">
        <v>-256.3</v>
      </c>
      <c r="BJ70" s="45">
        <v>-435.5</v>
      </c>
      <c r="BK70" s="45">
        <v>-241.9</v>
      </c>
      <c r="BL70" s="45">
        <v>-309.39999999999998</v>
      </c>
      <c r="BM70" s="45">
        <v>-247.9</v>
      </c>
      <c r="BN70" s="45">
        <v>-312</v>
      </c>
      <c r="BO70" s="45">
        <v>-116.6</v>
      </c>
      <c r="BP70" s="45">
        <f>-271.9-BO70</f>
        <v>-155.29999999999998</v>
      </c>
      <c r="BQ70" s="45">
        <f>-377.3-SUM(BO70:BP70)</f>
        <v>-105.40000000000003</v>
      </c>
      <c r="BR70" s="45">
        <f>-539.8-SUM(BO70:BQ70)</f>
        <v>-162.49999999999994</v>
      </c>
      <c r="BS70" s="45">
        <v>-103.3</v>
      </c>
      <c r="BT70" s="45">
        <v>-113</v>
      </c>
      <c r="BU70" s="45">
        <f>-329-BT70-BS70</f>
        <v>-112.7</v>
      </c>
      <c r="CA70" s="45">
        <f t="shared" si="197"/>
        <v>-67.8</v>
      </c>
      <c r="CB70" s="45">
        <f t="shared" si="198"/>
        <v>-58.8</v>
      </c>
      <c r="CC70" s="45">
        <f t="shared" si="199"/>
        <v>-82.9</v>
      </c>
      <c r="CD70" s="45">
        <f t="shared" si="200"/>
        <v>-114.2</v>
      </c>
      <c r="CE70" s="45">
        <f t="shared" si="201"/>
        <v>-104.6</v>
      </c>
      <c r="CF70" s="45">
        <f t="shared" si="202"/>
        <v>-105.60000000000001</v>
      </c>
      <c r="CG70" s="45">
        <f t="shared" si="203"/>
        <v>-81</v>
      </c>
      <c r="CH70" s="45">
        <f t="shared" si="204"/>
        <v>-53.900000000000006</v>
      </c>
      <c r="CI70" s="45">
        <f t="shared" si="205"/>
        <v>-190.7</v>
      </c>
      <c r="CJ70" s="45">
        <f t="shared" si="206"/>
        <v>-187.4</v>
      </c>
      <c r="CK70" s="45">
        <f t="shared" si="207"/>
        <v>-425.8</v>
      </c>
      <c r="CL70" s="45">
        <f t="shared" si="208"/>
        <v>-341.5</v>
      </c>
      <c r="CM70" s="45">
        <f>SUM(AY70:BB70)</f>
        <v>-339.5</v>
      </c>
      <c r="CN70" s="45">
        <f>SUM(BC70:BF70)</f>
        <v>-532.4</v>
      </c>
      <c r="CO70" s="45">
        <f>SUM(BG70:BJ70)</f>
        <v>-1064.2</v>
      </c>
      <c r="CP70" s="45">
        <f>SUM(BK70:BN70)</f>
        <v>-1111.1999999999998</v>
      </c>
      <c r="CQ70" s="45">
        <f>SUM(BO70:BR70)</f>
        <v>-539.79999999999995</v>
      </c>
    </row>
    <row r="71" spans="2:157" s="2" customFormat="1" ht="15">
      <c r="B71" s="2" t="s">
        <v>140</v>
      </c>
      <c r="C71" s="47">
        <f t="shared" ref="C71:AT71" si="209">C69+C70</f>
        <v>77</v>
      </c>
      <c r="D71" s="47">
        <f t="shared" si="209"/>
        <v>68.400000000000006</v>
      </c>
      <c r="E71" s="47">
        <f t="shared" si="209"/>
        <v>82.5</v>
      </c>
      <c r="F71" s="47">
        <f t="shared" si="209"/>
        <v>96.5</v>
      </c>
      <c r="G71" s="47">
        <f t="shared" si="209"/>
        <v>101.39999999999999</v>
      </c>
      <c r="H71" s="47">
        <f t="shared" si="209"/>
        <v>162.1</v>
      </c>
      <c r="I71" s="47">
        <f t="shared" si="209"/>
        <v>96.1</v>
      </c>
      <c r="J71" s="47">
        <f t="shared" si="209"/>
        <v>127.39999999999999</v>
      </c>
      <c r="K71" s="47">
        <f t="shared" si="209"/>
        <v>80.5</v>
      </c>
      <c r="L71" s="47">
        <f t="shared" si="209"/>
        <v>172.6</v>
      </c>
      <c r="M71" s="47">
        <f t="shared" si="209"/>
        <v>143.1</v>
      </c>
      <c r="N71" s="47">
        <f t="shared" si="209"/>
        <v>198.5</v>
      </c>
      <c r="O71" s="47">
        <f t="shared" si="209"/>
        <v>116.7</v>
      </c>
      <c r="P71" s="47">
        <f t="shared" si="209"/>
        <v>202.70000000000002</v>
      </c>
      <c r="Q71" s="47">
        <f t="shared" si="209"/>
        <v>224.5</v>
      </c>
      <c r="R71" s="47">
        <f t="shared" si="209"/>
        <v>156.10000000000002</v>
      </c>
      <c r="S71" s="47">
        <f t="shared" si="209"/>
        <v>241.3</v>
      </c>
      <c r="T71" s="47">
        <f t="shared" si="209"/>
        <v>164.1</v>
      </c>
      <c r="U71" s="47">
        <f t="shared" si="209"/>
        <v>169.8</v>
      </c>
      <c r="V71" s="47">
        <f t="shared" si="209"/>
        <v>200.2</v>
      </c>
      <c r="W71" s="47">
        <f t="shared" si="209"/>
        <v>158.20000000000002</v>
      </c>
      <c r="X71" s="47">
        <f t="shared" si="209"/>
        <v>135.5</v>
      </c>
      <c r="Y71" s="47">
        <f t="shared" si="209"/>
        <v>136.79999999999998</v>
      </c>
      <c r="Z71" s="47">
        <f t="shared" si="209"/>
        <v>129</v>
      </c>
      <c r="AA71" s="47">
        <f t="shared" si="209"/>
        <v>104.5</v>
      </c>
      <c r="AB71" s="47">
        <f t="shared" si="209"/>
        <v>171.5</v>
      </c>
      <c r="AC71" s="47">
        <f t="shared" si="209"/>
        <v>151.19999999999999</v>
      </c>
      <c r="AD71" s="47">
        <f t="shared" si="209"/>
        <v>298</v>
      </c>
      <c r="AE71" s="47">
        <f t="shared" si="209"/>
        <v>217.20000000000002</v>
      </c>
      <c r="AF71" s="47">
        <f t="shared" si="209"/>
        <v>250.29999999999998</v>
      </c>
      <c r="AG71" s="47">
        <f t="shared" si="209"/>
        <v>253.70000000000002</v>
      </c>
      <c r="AH71" s="47">
        <f t="shared" si="209"/>
        <v>311.89999999999998</v>
      </c>
      <c r="AI71" s="47">
        <f t="shared" si="209"/>
        <v>188.5</v>
      </c>
      <c r="AJ71" s="47">
        <f t="shared" si="209"/>
        <v>161.19999999999999</v>
      </c>
      <c r="AK71" s="47">
        <f t="shared" si="209"/>
        <v>302.5</v>
      </c>
      <c r="AL71" s="47">
        <f t="shared" si="209"/>
        <v>301</v>
      </c>
      <c r="AM71" s="47">
        <f t="shared" si="209"/>
        <v>240.1</v>
      </c>
      <c r="AN71" s="47">
        <f t="shared" si="209"/>
        <v>186.7</v>
      </c>
      <c r="AO71" s="47">
        <f t="shared" si="209"/>
        <v>272.8</v>
      </c>
      <c r="AP71" s="47">
        <f t="shared" si="209"/>
        <v>282.60000000000002</v>
      </c>
      <c r="AQ71" s="47">
        <f t="shared" si="209"/>
        <v>218.39999999999998</v>
      </c>
      <c r="AR71" s="47">
        <f t="shared" si="209"/>
        <v>234</v>
      </c>
      <c r="AS71" s="47">
        <f t="shared" si="209"/>
        <v>309.3</v>
      </c>
      <c r="AT71" s="47">
        <f t="shared" si="209"/>
        <v>410.70000000000005</v>
      </c>
      <c r="AU71" s="47">
        <f t="shared" ref="AU71:BN71" si="210">AU69+AU70</f>
        <v>247.60000000000002</v>
      </c>
      <c r="AV71" s="47">
        <f t="shared" si="210"/>
        <v>119.9</v>
      </c>
      <c r="AW71" s="47">
        <f t="shared" si="210"/>
        <v>210.20000000000002</v>
      </c>
      <c r="AX71" s="47">
        <f t="shared" si="210"/>
        <v>565.6</v>
      </c>
      <c r="AY71" s="47">
        <f t="shared" si="210"/>
        <v>419</v>
      </c>
      <c r="AZ71" s="47">
        <f t="shared" si="210"/>
        <v>467.00000000000006</v>
      </c>
      <c r="BA71" s="47">
        <f t="shared" si="210"/>
        <v>433.09999999999997</v>
      </c>
      <c r="BB71" s="47">
        <f t="shared" si="210"/>
        <v>430.80000000000007</v>
      </c>
      <c r="BC71" s="47">
        <f t="shared" si="210"/>
        <v>129.4</v>
      </c>
      <c r="BD71" s="47">
        <f t="shared" si="210"/>
        <v>316.2</v>
      </c>
      <c r="BE71" s="47">
        <f t="shared" si="210"/>
        <v>214.1</v>
      </c>
      <c r="BF71" s="47">
        <f t="shared" si="210"/>
        <v>298.7</v>
      </c>
      <c r="BG71" s="47">
        <f t="shared" si="210"/>
        <v>177.29999999999998</v>
      </c>
      <c r="BH71" s="47">
        <f t="shared" si="210"/>
        <v>487.40000000000003</v>
      </c>
      <c r="BI71" s="47">
        <f t="shared" si="210"/>
        <v>292.09999999999997</v>
      </c>
      <c r="BJ71" s="47">
        <f t="shared" si="210"/>
        <v>-207.2</v>
      </c>
      <c r="BK71" s="47">
        <f t="shared" si="210"/>
        <v>23.499999999999972</v>
      </c>
      <c r="BL71" s="47">
        <f t="shared" si="210"/>
        <v>311.10000000000002</v>
      </c>
      <c r="BM71" s="47">
        <f t="shared" si="210"/>
        <v>458.6</v>
      </c>
      <c r="BN71" s="47">
        <f t="shared" si="210"/>
        <v>510.6</v>
      </c>
      <c r="BO71" s="47">
        <f t="shared" ref="BO71:BT71" si="211">BO69+BO70</f>
        <v>465</v>
      </c>
      <c r="BP71" s="47">
        <f t="shared" si="211"/>
        <v>560.1</v>
      </c>
      <c r="BQ71" s="47">
        <f t="shared" si="211"/>
        <v>735.59999999999991</v>
      </c>
      <c r="BR71" s="47">
        <f t="shared" si="211"/>
        <v>730</v>
      </c>
      <c r="BS71" s="47">
        <f t="shared" si="211"/>
        <v>808.6</v>
      </c>
      <c r="BT71" s="47">
        <f t="shared" si="211"/>
        <v>948</v>
      </c>
      <c r="BU71" s="47">
        <f t="shared" ref="BU71" si="212">BU69+BU70</f>
        <v>1111.3999999999999</v>
      </c>
      <c r="BV71" s="34"/>
      <c r="BW71" s="34"/>
      <c r="BX71" s="34"/>
      <c r="BY71" s="34"/>
      <c r="CA71" s="47">
        <f t="shared" si="197"/>
        <v>324.39999999999998</v>
      </c>
      <c r="CB71" s="47">
        <f t="shared" si="198"/>
        <v>487</v>
      </c>
      <c r="CC71" s="47">
        <f t="shared" si="199"/>
        <v>594.70000000000005</v>
      </c>
      <c r="CD71" s="47">
        <f t="shared" si="200"/>
        <v>700.00000000000011</v>
      </c>
      <c r="CE71" s="47">
        <f t="shared" si="201"/>
        <v>775.40000000000009</v>
      </c>
      <c r="CF71" s="47">
        <f t="shared" si="202"/>
        <v>559.5</v>
      </c>
      <c r="CG71" s="47">
        <f t="shared" si="203"/>
        <v>725.2</v>
      </c>
      <c r="CH71" s="47">
        <f t="shared" si="204"/>
        <v>1033.0999999999999</v>
      </c>
      <c r="CI71" s="47">
        <f t="shared" si="205"/>
        <v>953.2</v>
      </c>
      <c r="CJ71" s="47">
        <f t="shared" si="206"/>
        <v>982.19999999999993</v>
      </c>
      <c r="CK71" s="47">
        <f t="shared" si="207"/>
        <v>1172.4000000000001</v>
      </c>
      <c r="CL71" s="47">
        <f t="shared" si="208"/>
        <v>1143.3000000000002</v>
      </c>
      <c r="CM71" s="47">
        <f>SUM(AY71:BB71)</f>
        <v>1749.9</v>
      </c>
      <c r="CN71" s="47">
        <f>SUM(BC71:BF71)</f>
        <v>958.40000000000009</v>
      </c>
      <c r="CO71" s="47">
        <f>SUM(BG71:BJ71)</f>
        <v>749.59999999999991</v>
      </c>
      <c r="CP71" s="47">
        <f>SUM(BK71:BN71)</f>
        <v>1303.8000000000002</v>
      </c>
      <c r="CQ71" s="47">
        <f>SUM(BO71:BR71)</f>
        <v>2490.6999999999998</v>
      </c>
      <c r="CR71" s="34"/>
      <c r="CS71" s="34"/>
      <c r="CT71" s="34"/>
      <c r="CU71" s="34"/>
      <c r="CV71" s="34"/>
      <c r="CW71" s="34"/>
      <c r="CX71" s="34"/>
      <c r="CY71" s="34"/>
      <c r="CZ71" s="34"/>
      <c r="DA71" s="34"/>
      <c r="DB71" s="34"/>
      <c r="DC71" s="34"/>
      <c r="DD71" s="34"/>
      <c r="DE71" s="34"/>
      <c r="DF71" s="34"/>
      <c r="DG71" s="34"/>
      <c r="DH71" s="34"/>
      <c r="DI71" s="34"/>
      <c r="DJ71" s="34"/>
      <c r="DK71" s="34"/>
      <c r="DL71" s="34"/>
      <c r="DM71" s="34"/>
      <c r="DN71" s="34"/>
      <c r="DO71" s="34"/>
      <c r="DP71" s="34"/>
      <c r="DQ71" s="34"/>
      <c r="DR71" s="34"/>
      <c r="DS71" s="34"/>
      <c r="DT71" s="34"/>
      <c r="DU71" s="34"/>
      <c r="DV71" s="34"/>
      <c r="DW71" s="34"/>
      <c r="DX71" s="34"/>
      <c r="DY71" s="34"/>
      <c r="DZ71" s="34"/>
      <c r="EA71" s="34"/>
      <c r="EB71" s="34"/>
      <c r="EC71" s="34"/>
      <c r="ED71" s="34"/>
      <c r="EE71" s="34"/>
      <c r="EF71" s="34"/>
      <c r="EG71" s="34"/>
      <c r="EH71" s="34"/>
      <c r="EI71" s="34"/>
      <c r="EJ71" s="34"/>
      <c r="EK71" s="34"/>
      <c r="EL71" s="34"/>
      <c r="EM71" s="34"/>
      <c r="EN71" s="34"/>
      <c r="EO71" s="34"/>
      <c r="EP71" s="34"/>
      <c r="EQ71" s="34"/>
      <c r="ER71" s="34"/>
      <c r="ES71" s="34"/>
      <c r="ET71" s="34"/>
      <c r="EU71" s="34"/>
      <c r="EV71" s="34"/>
      <c r="EW71" s="34"/>
      <c r="EX71" s="34"/>
      <c r="EY71" s="34"/>
      <c r="EZ71" s="34"/>
      <c r="FA71" s="34"/>
    </row>
    <row r="72" spans="2:157">
      <c r="B72" s="1" t="s">
        <v>141</v>
      </c>
      <c r="C72" s="1">
        <f t="shared" ref="C72:AT72" si="213">C30</f>
        <v>355</v>
      </c>
      <c r="D72" s="1">
        <f t="shared" si="213"/>
        <v>355</v>
      </c>
      <c r="E72" s="1">
        <f t="shared" si="213"/>
        <v>355</v>
      </c>
      <c r="F72" s="1">
        <f t="shared" si="213"/>
        <v>354</v>
      </c>
      <c r="G72" s="1">
        <f t="shared" si="213"/>
        <v>354</v>
      </c>
      <c r="H72" s="1">
        <f t="shared" si="213"/>
        <v>353</v>
      </c>
      <c r="I72" s="1">
        <f t="shared" si="213"/>
        <v>352</v>
      </c>
      <c r="J72" s="1">
        <f t="shared" si="213"/>
        <v>352</v>
      </c>
      <c r="K72" s="1">
        <f t="shared" si="213"/>
        <v>352</v>
      </c>
      <c r="L72" s="1">
        <f t="shared" si="213"/>
        <v>353</v>
      </c>
      <c r="M72" s="1">
        <f t="shared" si="213"/>
        <v>352</v>
      </c>
      <c r="N72" s="1">
        <f t="shared" si="213"/>
        <v>353</v>
      </c>
      <c r="O72" s="1">
        <f t="shared" si="213"/>
        <v>356</v>
      </c>
      <c r="P72" s="1">
        <f t="shared" si="213"/>
        <v>359</v>
      </c>
      <c r="Q72" s="1">
        <f t="shared" si="213"/>
        <v>359</v>
      </c>
      <c r="R72" s="1">
        <f t="shared" si="213"/>
        <v>358</v>
      </c>
      <c r="S72" s="1">
        <f t="shared" si="213"/>
        <v>363</v>
      </c>
      <c r="T72" s="1">
        <f t="shared" si="213"/>
        <v>359</v>
      </c>
      <c r="U72" s="1">
        <f t="shared" si="213"/>
        <v>347</v>
      </c>
      <c r="V72" s="1">
        <f t="shared" si="213"/>
        <v>353</v>
      </c>
      <c r="W72" s="1">
        <f t="shared" si="213"/>
        <v>345</v>
      </c>
      <c r="X72" s="1">
        <f t="shared" si="213"/>
        <v>332</v>
      </c>
      <c r="Y72" s="1">
        <f t="shared" si="213"/>
        <v>325</v>
      </c>
      <c r="Z72" s="1">
        <f t="shared" si="213"/>
        <v>332</v>
      </c>
      <c r="AA72" s="1">
        <f t="shared" si="213"/>
        <v>330</v>
      </c>
      <c r="AB72" s="1">
        <f t="shared" si="213"/>
        <v>332</v>
      </c>
      <c r="AC72" s="1">
        <f t="shared" si="213"/>
        <v>336</v>
      </c>
      <c r="AD72" s="1">
        <f t="shared" si="213"/>
        <v>334</v>
      </c>
      <c r="AE72" s="1">
        <f t="shared" si="213"/>
        <v>339</v>
      </c>
      <c r="AF72" s="1">
        <f t="shared" si="213"/>
        <v>345</v>
      </c>
      <c r="AG72" s="1">
        <f t="shared" si="213"/>
        <v>348</v>
      </c>
      <c r="AH72" s="1">
        <f t="shared" si="213"/>
        <v>345</v>
      </c>
      <c r="AI72" s="1">
        <f t="shared" si="213"/>
        <v>336</v>
      </c>
      <c r="AJ72" s="1">
        <f t="shared" si="213"/>
        <v>333</v>
      </c>
      <c r="AK72" s="1">
        <f t="shared" si="213"/>
        <v>335</v>
      </c>
      <c r="AL72" s="1">
        <f t="shared" si="213"/>
        <v>335</v>
      </c>
      <c r="AM72" s="1">
        <f t="shared" si="213"/>
        <v>338</v>
      </c>
      <c r="AN72" s="1">
        <f t="shared" si="213"/>
        <v>341</v>
      </c>
      <c r="AO72" s="1">
        <f t="shared" si="213"/>
        <v>342</v>
      </c>
      <c r="AP72" s="1">
        <f t="shared" si="213"/>
        <v>341</v>
      </c>
      <c r="AQ72" s="1">
        <f t="shared" si="213"/>
        <v>345</v>
      </c>
      <c r="AR72" s="1">
        <f t="shared" si="213"/>
        <v>346</v>
      </c>
      <c r="AS72" s="1">
        <f t="shared" si="213"/>
        <v>346</v>
      </c>
      <c r="AT72" s="1">
        <f t="shared" si="213"/>
        <v>346</v>
      </c>
      <c r="AU72" s="1">
        <f t="shared" ref="AU72:BP72" si="214">AU30</f>
        <v>349.20000000000005</v>
      </c>
      <c r="AV72" s="1">
        <f t="shared" si="214"/>
        <v>350.4</v>
      </c>
      <c r="AW72" s="1">
        <f t="shared" si="214"/>
        <v>352</v>
      </c>
      <c r="AX72" s="1">
        <f t="shared" si="214"/>
        <v>351.1</v>
      </c>
      <c r="AY72" s="1">
        <f t="shared" si="214"/>
        <v>354.2</v>
      </c>
      <c r="AZ72" s="1">
        <f t="shared" si="214"/>
        <v>355.7</v>
      </c>
      <c r="BA72" s="1">
        <f t="shared" si="214"/>
        <v>356.8</v>
      </c>
      <c r="BB72" s="1">
        <f t="shared" si="214"/>
        <v>356.1</v>
      </c>
      <c r="BC72" s="1">
        <f t="shared" si="214"/>
        <v>358.4</v>
      </c>
      <c r="BD72" s="1">
        <f t="shared" si="214"/>
        <v>358.1</v>
      </c>
      <c r="BE72" s="1">
        <f t="shared" si="214"/>
        <v>355.3</v>
      </c>
      <c r="BF72" s="1">
        <f t="shared" si="214"/>
        <v>355.7</v>
      </c>
      <c r="BG72" s="1">
        <f t="shared" si="214"/>
        <v>350.2</v>
      </c>
      <c r="BH72" s="1">
        <f t="shared" si="214"/>
        <v>350.9</v>
      </c>
      <c r="BI72" s="1">
        <f t="shared" si="214"/>
        <v>351.7</v>
      </c>
      <c r="BJ72" s="1">
        <f t="shared" si="214"/>
        <v>351.2</v>
      </c>
      <c r="BK72" s="1">
        <f t="shared" si="214"/>
        <v>353.5</v>
      </c>
      <c r="BL72" s="1">
        <f t="shared" si="214"/>
        <v>355</v>
      </c>
      <c r="BM72" s="1">
        <f t="shared" si="214"/>
        <v>355.8</v>
      </c>
      <c r="BN72" s="1">
        <f t="shared" si="214"/>
        <v>355.2</v>
      </c>
      <c r="BO72" s="1">
        <f t="shared" si="214"/>
        <v>357.5</v>
      </c>
      <c r="BP72" s="1">
        <f t="shared" si="214"/>
        <v>358.5</v>
      </c>
      <c r="BQ72" s="1">
        <f t="shared" ref="BQ72:BR72" si="215">BQ30</f>
        <v>356.6</v>
      </c>
      <c r="BR72" s="1">
        <f t="shared" si="215"/>
        <v>355.13</v>
      </c>
      <c r="BS72" s="1">
        <f t="shared" ref="BS72:BT72" si="216">BS30</f>
        <v>354.9</v>
      </c>
      <c r="BT72" s="1">
        <f t="shared" si="216"/>
        <v>354.1</v>
      </c>
      <c r="BU72" s="1">
        <f t="shared" ref="BU72" si="217">BU30</f>
        <v>349</v>
      </c>
      <c r="CA72" s="43">
        <f t="shared" ref="CA72:CK72" si="218">CA30</f>
        <v>354.75</v>
      </c>
      <c r="CB72" s="43">
        <f t="shared" si="218"/>
        <v>352.75</v>
      </c>
      <c r="CC72" s="43">
        <f t="shared" si="218"/>
        <v>352.5</v>
      </c>
      <c r="CD72" s="43">
        <f t="shared" si="218"/>
        <v>358</v>
      </c>
      <c r="CE72" s="43">
        <f t="shared" si="218"/>
        <v>355.5</v>
      </c>
      <c r="CF72" s="43">
        <f t="shared" si="218"/>
        <v>333.5</v>
      </c>
      <c r="CG72" s="43">
        <f t="shared" si="218"/>
        <v>333</v>
      </c>
      <c r="CH72" s="43">
        <f t="shared" si="218"/>
        <v>344.25</v>
      </c>
      <c r="CI72" s="43">
        <f t="shared" si="218"/>
        <v>334.75</v>
      </c>
      <c r="CJ72" s="43">
        <f t="shared" si="218"/>
        <v>340.5</v>
      </c>
      <c r="CK72" s="43">
        <f t="shared" si="218"/>
        <v>345.75</v>
      </c>
      <c r="CL72" s="43">
        <f>CL30</f>
        <v>350.67499999999995</v>
      </c>
      <c r="CM72" s="43">
        <f t="shared" ref="CM72:CP72" si="219">CM30</f>
        <v>355.70000000000005</v>
      </c>
      <c r="CN72" s="43">
        <f t="shared" si="219"/>
        <v>356.875</v>
      </c>
      <c r="CO72" s="43">
        <f t="shared" si="219"/>
        <v>351</v>
      </c>
      <c r="CP72" s="43">
        <f t="shared" si="219"/>
        <v>354.875</v>
      </c>
      <c r="CQ72" s="43">
        <f>CQ30</f>
        <v>356.9325</v>
      </c>
    </row>
    <row r="73" spans="2:157">
      <c r="B73" s="1" t="s">
        <v>142</v>
      </c>
      <c r="C73" s="39">
        <f t="shared" ref="C73:AT73" si="220">C71/C72</f>
        <v>0.21690140845070421</v>
      </c>
      <c r="D73" s="39">
        <f t="shared" si="220"/>
        <v>0.19267605633802817</v>
      </c>
      <c r="E73" s="39">
        <f t="shared" si="220"/>
        <v>0.23239436619718309</v>
      </c>
      <c r="F73" s="39">
        <f t="shared" si="220"/>
        <v>0.27259887005649719</v>
      </c>
      <c r="G73" s="39">
        <f t="shared" si="220"/>
        <v>0.28644067796610168</v>
      </c>
      <c r="H73" s="39">
        <f t="shared" si="220"/>
        <v>0.4592067988668555</v>
      </c>
      <c r="I73" s="39">
        <f t="shared" si="220"/>
        <v>0.27301136363636364</v>
      </c>
      <c r="J73" s="39">
        <f t="shared" si="220"/>
        <v>0.36193181818181813</v>
      </c>
      <c r="K73" s="39">
        <f t="shared" si="220"/>
        <v>0.22869318181818182</v>
      </c>
      <c r="L73" s="39">
        <f t="shared" si="220"/>
        <v>0.48895184135977338</v>
      </c>
      <c r="M73" s="39">
        <f t="shared" si="220"/>
        <v>0.40653409090909087</v>
      </c>
      <c r="N73" s="39">
        <f t="shared" si="220"/>
        <v>0.56232294617563738</v>
      </c>
      <c r="O73" s="39">
        <f t="shared" si="220"/>
        <v>0.32780898876404496</v>
      </c>
      <c r="P73" s="39">
        <f t="shared" si="220"/>
        <v>0.56462395543175492</v>
      </c>
      <c r="Q73" s="39">
        <f t="shared" si="220"/>
        <v>0.62534818941504178</v>
      </c>
      <c r="R73" s="39">
        <f t="shared" si="220"/>
        <v>0.43603351955307268</v>
      </c>
      <c r="S73" s="39">
        <f t="shared" si="220"/>
        <v>0.6647382920110193</v>
      </c>
      <c r="T73" s="39">
        <f t="shared" si="220"/>
        <v>0.45710306406685236</v>
      </c>
      <c r="U73" s="39">
        <f t="shared" si="220"/>
        <v>0.48933717579250724</v>
      </c>
      <c r="V73" s="39">
        <f t="shared" si="220"/>
        <v>0.56713881019830026</v>
      </c>
      <c r="W73" s="39">
        <f t="shared" si="220"/>
        <v>0.45855072463768121</v>
      </c>
      <c r="X73" s="39">
        <f t="shared" si="220"/>
        <v>0.40813253012048195</v>
      </c>
      <c r="Y73" s="39">
        <f t="shared" si="220"/>
        <v>0.42092307692307684</v>
      </c>
      <c r="Z73" s="39">
        <f t="shared" si="220"/>
        <v>0.38855421686746988</v>
      </c>
      <c r="AA73" s="39">
        <f t="shared" si="220"/>
        <v>0.31666666666666665</v>
      </c>
      <c r="AB73" s="39">
        <f t="shared" si="220"/>
        <v>0.51656626506024095</v>
      </c>
      <c r="AC73" s="39">
        <f t="shared" si="220"/>
        <v>0.44999999999999996</v>
      </c>
      <c r="AD73" s="39">
        <f t="shared" si="220"/>
        <v>0.89221556886227549</v>
      </c>
      <c r="AE73" s="39">
        <f t="shared" si="220"/>
        <v>0.64070796460176993</v>
      </c>
      <c r="AF73" s="39">
        <f t="shared" si="220"/>
        <v>0.72550724637681152</v>
      </c>
      <c r="AG73" s="39">
        <f t="shared" si="220"/>
        <v>0.7290229885057472</v>
      </c>
      <c r="AH73" s="39">
        <f t="shared" si="220"/>
        <v>0.9040579710144927</v>
      </c>
      <c r="AI73" s="39">
        <f t="shared" si="220"/>
        <v>0.56101190476190477</v>
      </c>
      <c r="AJ73" s="39">
        <f t="shared" si="220"/>
        <v>0.48408408408408404</v>
      </c>
      <c r="AK73" s="39">
        <f t="shared" si="220"/>
        <v>0.90298507462686572</v>
      </c>
      <c r="AL73" s="39">
        <f t="shared" si="220"/>
        <v>0.89850746268656712</v>
      </c>
      <c r="AM73" s="39">
        <f t="shared" si="220"/>
        <v>0.71035502958579877</v>
      </c>
      <c r="AN73" s="39">
        <f t="shared" si="220"/>
        <v>0.5475073313782991</v>
      </c>
      <c r="AO73" s="39">
        <f t="shared" si="220"/>
        <v>0.79766081871345029</v>
      </c>
      <c r="AP73" s="39">
        <f t="shared" si="220"/>
        <v>0.82873900293255143</v>
      </c>
      <c r="AQ73" s="39">
        <f t="shared" si="220"/>
        <v>0.63304347826086949</v>
      </c>
      <c r="AR73" s="39">
        <f t="shared" si="220"/>
        <v>0.67630057803468213</v>
      </c>
      <c r="AS73" s="39">
        <f t="shared" si="220"/>
        <v>0.89393063583815036</v>
      </c>
      <c r="AT73" s="39">
        <f t="shared" si="220"/>
        <v>1.1869942196531793</v>
      </c>
      <c r="AU73" s="39">
        <f t="shared" ref="AU73:BN73" si="221">AU71/AU72</f>
        <v>0.70904925544100794</v>
      </c>
      <c r="AV73" s="39">
        <f t="shared" si="221"/>
        <v>0.34218036529680368</v>
      </c>
      <c r="AW73" s="39">
        <f t="shared" si="221"/>
        <v>0.59715909090909092</v>
      </c>
      <c r="AX73" s="39">
        <f t="shared" si="221"/>
        <v>1.6109370549700939</v>
      </c>
      <c r="AY73" s="39">
        <f t="shared" si="221"/>
        <v>1.1829474872953134</v>
      </c>
      <c r="AZ73" s="39">
        <f t="shared" si="221"/>
        <v>1.3129041326960924</v>
      </c>
      <c r="BA73" s="39">
        <f t="shared" si="221"/>
        <v>1.2138452914798206</v>
      </c>
      <c r="BB73" s="39">
        <f t="shared" si="221"/>
        <v>1.2097725358045495</v>
      </c>
      <c r="BC73" s="39">
        <f t="shared" si="221"/>
        <v>0.36104910714285721</v>
      </c>
      <c r="BD73" s="39">
        <f t="shared" si="221"/>
        <v>0.88299357721306893</v>
      </c>
      <c r="BE73" s="39">
        <f t="shared" si="221"/>
        <v>0.60258936110329298</v>
      </c>
      <c r="BF73" s="39">
        <f t="shared" si="221"/>
        <v>0.83975260050604439</v>
      </c>
      <c r="BG73" s="39">
        <f t="shared" si="221"/>
        <v>0.50628212450028554</v>
      </c>
      <c r="BH73" s="39">
        <f t="shared" si="221"/>
        <v>1.388999715018524</v>
      </c>
      <c r="BI73" s="39">
        <f t="shared" si="221"/>
        <v>0.83053738982087</v>
      </c>
      <c r="BJ73" s="39">
        <f t="shared" si="221"/>
        <v>-0.58997722095671978</v>
      </c>
      <c r="BK73" s="39">
        <f t="shared" si="221"/>
        <v>6.64780763790664E-2</v>
      </c>
      <c r="BL73" s="39">
        <f t="shared" si="221"/>
        <v>0.87633802816901418</v>
      </c>
      <c r="BM73" s="39">
        <f t="shared" si="221"/>
        <v>1.2889263631253514</v>
      </c>
      <c r="BN73" s="39">
        <f t="shared" si="221"/>
        <v>1.4375</v>
      </c>
      <c r="BO73" s="39">
        <f t="shared" ref="BO73:BT73" si="222">BO71/BO72</f>
        <v>1.3006993006993006</v>
      </c>
      <c r="BP73" s="39">
        <f t="shared" si="222"/>
        <v>1.5623430962343097</v>
      </c>
      <c r="BQ73" s="39">
        <f t="shared" si="222"/>
        <v>2.0628154795288833</v>
      </c>
      <c r="BR73" s="39">
        <f t="shared" si="222"/>
        <v>2.0555852786303608</v>
      </c>
      <c r="BS73" s="39">
        <f t="shared" si="222"/>
        <v>2.2783882783882787</v>
      </c>
      <c r="BT73" s="39">
        <f t="shared" si="222"/>
        <v>2.6772098277322787</v>
      </c>
      <c r="BU73" s="39">
        <f t="shared" ref="BU73" si="223">BU71/BU72</f>
        <v>3.1845272206303723</v>
      </c>
      <c r="CA73" s="39">
        <f t="shared" si="197"/>
        <v>0.91457070104241267</v>
      </c>
      <c r="CB73" s="39">
        <f t="shared" si="198"/>
        <v>1.3805906586511389</v>
      </c>
      <c r="CC73" s="39">
        <f t="shared" si="199"/>
        <v>1.6865020602626835</v>
      </c>
      <c r="CD73" s="39">
        <f t="shared" si="200"/>
        <v>1.9538146531639144</v>
      </c>
      <c r="CE73" s="39">
        <f t="shared" si="201"/>
        <v>2.1783173420686794</v>
      </c>
      <c r="CF73" s="39">
        <f t="shared" si="202"/>
        <v>1.6761605485487099</v>
      </c>
      <c r="CG73" s="39">
        <f t="shared" si="203"/>
        <v>2.1754485005891828</v>
      </c>
      <c r="CH73" s="39">
        <f t="shared" si="204"/>
        <v>2.9992961704988215</v>
      </c>
      <c r="CI73" s="39">
        <f t="shared" si="205"/>
        <v>2.8465885261594215</v>
      </c>
      <c r="CJ73" s="39">
        <f t="shared" si="206"/>
        <v>2.8842621826101</v>
      </c>
      <c r="CK73" s="39">
        <f t="shared" si="207"/>
        <v>3.3902689117868814</v>
      </c>
      <c r="CL73" s="39">
        <f t="shared" si="208"/>
        <v>3.2593257666169961</v>
      </c>
      <c r="CM73" s="39">
        <f>SUM(AY73:BB73)</f>
        <v>4.9194694472757758</v>
      </c>
      <c r="CN73" s="39">
        <f>SUM(BC73:BF73)</f>
        <v>2.6863846459652634</v>
      </c>
      <c r="CO73" s="39">
        <f>SUM(BG73:BJ73)</f>
        <v>2.1358420083829599</v>
      </c>
      <c r="CP73" s="39">
        <f>SUM(BK73:BN73)</f>
        <v>3.6692424676734321</v>
      </c>
      <c r="CQ73" s="39">
        <f>SUM(BO73:BR73)</f>
        <v>6.9814431550928546</v>
      </c>
    </row>
  </sheetData>
  <mergeCells count="1">
    <mergeCell ref="CZ55:DA55"/>
  </mergeCells>
  <conditionalFormatting sqref="CZ55:DA55">
    <cfRule type="colorScale" priority="7">
      <colorScale>
        <cfvo type="min"/>
        <cfvo type="percentile" val="50"/>
        <cfvo type="max"/>
        <color rgb="FFF8696B"/>
        <color rgb="FFFCFCFF"/>
        <color rgb="FF63BE7B"/>
      </colorScale>
    </cfRule>
    <cfRule type="containsText" dxfId="4" priority="8" operator="containsText" text="Strong Sell">
      <formula>NOT(ISERROR(SEARCH("Strong Sell",CZ55)))</formula>
    </cfRule>
    <cfRule type="containsText" dxfId="3" priority="9" operator="containsText" text="Sell">
      <formula>NOT(ISERROR(SEARCH("Sell",CZ55)))</formula>
    </cfRule>
    <cfRule type="containsText" dxfId="2" priority="10" operator="containsText" text="Hold">
      <formula>NOT(ISERROR(SEARCH("Hold",CZ55)))</formula>
    </cfRule>
    <cfRule type="beginsWith" dxfId="1" priority="11" operator="beginsWith" text="Buy">
      <formula>LEFT(CZ55,LEN("Buy"))="Buy"</formula>
    </cfRule>
    <cfRule type="beginsWith" dxfId="0" priority="12" operator="beginsWith" text="Strong">
      <formula>LEFT(CZ55,LEN("Strong"))="Strong"</formula>
    </cfRule>
  </conditionalFormatting>
  <pageMargins left="0.7" right="0.7" top="0.75" bottom="0.75" header="0.3" footer="0.3"/>
  <ignoredErrors>
    <ignoredError sqref="AX28:BP29 CA72:CL72" formula="1"/>
    <ignoredError sqref="AY60:BP66 CR69:CR71 BQ60:BQ64 BR60:BR66 AX19:AX26 CR30 CA18:CQ23 CA31:DA31 CS30:DA30 CM69:CP71 CA69:CL71 CA73:CQ73 CQ69:CQ71 CA28:DA29 CA24:CQ24 CS18:DA23 CA25:CQ27 CS25:DA27 BS60:BT65" formulaRange="1"/>
    <ignoredError sqref="CA30:CL30 CM30:CQ30 CM72:CQ72" formula="1" formulaRange="1"/>
    <ignoredError sqref="C73:AT73" evalError="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FD4A5-C172-4508-BDD9-9132B91E029B}">
  <dimension ref="A2:CJ1618"/>
  <sheetViews>
    <sheetView topLeftCell="Q1" zoomScale="55" zoomScaleNormal="55" workbookViewId="0">
      <selection activeCell="P185" sqref="A1:P1048576"/>
    </sheetView>
  </sheetViews>
  <sheetFormatPr defaultColWidth="9.140625" defaultRowHeight="14.25"/>
  <cols>
    <col min="1" max="1" width="3.42578125" style="1" hidden="1" customWidth="1"/>
    <col min="2" max="2" width="0" style="1" hidden="1" customWidth="1"/>
    <col min="3" max="8" width="9.140625" style="1" hidden="1" customWidth="1"/>
    <col min="9" max="9" width="3.5703125" style="1" hidden="1" customWidth="1"/>
    <col min="10" max="16" width="9.140625" style="1" hidden="1" customWidth="1"/>
    <col min="17" max="17" width="3.140625" style="1" customWidth="1"/>
    <col min="18" max="37" width="9.140625" style="1"/>
    <col min="38" max="38" width="2.85546875" style="1" customWidth="1"/>
    <col min="39" max="16384" width="9.140625" style="1"/>
  </cols>
  <sheetData>
    <row r="2" spans="17:88" ht="15">
      <c r="Q2" s="2" t="s">
        <v>161</v>
      </c>
      <c r="AM2" s="2" t="s">
        <v>1509</v>
      </c>
      <c r="CJ2" s="1">
        <v>0</v>
      </c>
    </row>
    <row r="32" spans="18:19">
      <c r="R32" s="1" t="s">
        <v>15</v>
      </c>
      <c r="S32" s="1" t="s">
        <v>1502</v>
      </c>
    </row>
    <row r="33" spans="17:39">
      <c r="S33" s="1" t="s">
        <v>17</v>
      </c>
    </row>
    <row r="34" spans="17:39">
      <c r="S34" s="1" t="s">
        <v>18</v>
      </c>
    </row>
    <row r="36" spans="17:39" ht="15">
      <c r="Q36" s="2" t="s">
        <v>14</v>
      </c>
      <c r="AM36" s="2" t="s">
        <v>143</v>
      </c>
    </row>
    <row r="50" spans="39:39" ht="15">
      <c r="AM50" s="2"/>
    </row>
    <row r="51" spans="39:39" ht="15">
      <c r="AM51" s="2"/>
    </row>
    <row r="67" spans="17:39">
      <c r="R67" s="1" t="s">
        <v>15</v>
      </c>
      <c r="S67" s="1" t="s">
        <v>16</v>
      </c>
    </row>
    <row r="68" spans="17:39">
      <c r="S68" s="1" t="s">
        <v>17</v>
      </c>
    </row>
    <row r="69" spans="17:39">
      <c r="S69" s="1" t="s">
        <v>18</v>
      </c>
    </row>
    <row r="71" spans="17:39" ht="15">
      <c r="Q71" s="2" t="s">
        <v>1485</v>
      </c>
      <c r="AM71" s="2" t="s">
        <v>144</v>
      </c>
    </row>
    <row r="73" spans="17:39" ht="15">
      <c r="AK73"/>
      <c r="AL73"/>
    </row>
    <row r="74" spans="17:39" ht="15">
      <c r="AK74"/>
      <c r="AL74"/>
    </row>
    <row r="75" spans="17:39" ht="15">
      <c r="AK75"/>
      <c r="AL75"/>
    </row>
    <row r="76" spans="17:39" ht="15">
      <c r="AK76"/>
      <c r="AL76"/>
    </row>
    <row r="77" spans="17:39" ht="15">
      <c r="AK77"/>
      <c r="AL77"/>
    </row>
    <row r="78" spans="17:39" ht="15">
      <c r="AK78"/>
      <c r="AL78"/>
    </row>
    <row r="79" spans="17:39" ht="15">
      <c r="AK79"/>
      <c r="AL79"/>
    </row>
    <row r="80" spans="17:39" ht="15">
      <c r="AK80"/>
      <c r="AL80"/>
    </row>
    <row r="81" spans="37:38" ht="15">
      <c r="AK81"/>
      <c r="AL81"/>
    </row>
    <row r="82" spans="37:38" ht="15">
      <c r="AK82"/>
      <c r="AL82"/>
    </row>
    <row r="83" spans="37:38" ht="15">
      <c r="AK83"/>
      <c r="AL83"/>
    </row>
    <row r="84" spans="37:38" ht="15">
      <c r="AK84"/>
      <c r="AL84"/>
    </row>
    <row r="85" spans="37:38" ht="15">
      <c r="AK85"/>
      <c r="AL85"/>
    </row>
    <row r="86" spans="37:38" ht="15">
      <c r="AK86"/>
      <c r="AL86"/>
    </row>
    <row r="87" spans="37:38" ht="15">
      <c r="AK87"/>
      <c r="AL87"/>
    </row>
    <row r="88" spans="37:38" ht="15">
      <c r="AK88"/>
      <c r="AL88"/>
    </row>
    <row r="89" spans="37:38" ht="15">
      <c r="AK89"/>
      <c r="AL89"/>
    </row>
    <row r="90" spans="37:38" ht="15">
      <c r="AK90"/>
      <c r="AL90"/>
    </row>
    <row r="91" spans="37:38" ht="15">
      <c r="AK91"/>
      <c r="AL91"/>
    </row>
    <row r="92" spans="37:38" ht="15">
      <c r="AK92"/>
      <c r="AL92"/>
    </row>
    <row r="93" spans="37:38" ht="15">
      <c r="AK93"/>
      <c r="AL93"/>
    </row>
    <row r="94" spans="37:38" ht="15">
      <c r="AK94"/>
      <c r="AL94"/>
    </row>
    <row r="95" spans="37:38" ht="15">
      <c r="AK95"/>
      <c r="AL95"/>
    </row>
    <row r="96" spans="37:38" ht="15">
      <c r="AK96"/>
      <c r="AL96"/>
    </row>
    <row r="97" spans="17:39" ht="15">
      <c r="AK97"/>
      <c r="AL97"/>
    </row>
    <row r="98" spans="17:39" ht="15">
      <c r="AK98"/>
      <c r="AL98"/>
    </row>
    <row r="103" spans="17:39">
      <c r="R103" s="1" t="s">
        <v>15</v>
      </c>
      <c r="S103" s="1" t="s">
        <v>16</v>
      </c>
    </row>
    <row r="104" spans="17:39">
      <c r="S104" s="1" t="s">
        <v>17</v>
      </c>
    </row>
    <row r="105" spans="17:39">
      <c r="S105" s="1" t="s">
        <v>18</v>
      </c>
    </row>
    <row r="107" spans="17:39" ht="15">
      <c r="Q107" s="2" t="s">
        <v>19</v>
      </c>
      <c r="AM107" s="2" t="s">
        <v>145</v>
      </c>
    </row>
    <row r="136" spans="17:39">
      <c r="R136" s="1" t="s">
        <v>15</v>
      </c>
      <c r="S136" s="1" t="s">
        <v>16</v>
      </c>
    </row>
    <row r="137" spans="17:39">
      <c r="S137" s="1" t="s">
        <v>17</v>
      </c>
    </row>
    <row r="138" spans="17:39">
      <c r="S138" s="1" t="s">
        <v>18</v>
      </c>
    </row>
    <row r="140" spans="17:39" ht="15">
      <c r="Q140" s="2" t="s">
        <v>19</v>
      </c>
      <c r="AM140" s="2"/>
    </row>
    <row r="169" spans="17:39">
      <c r="R169" s="1" t="s">
        <v>15</v>
      </c>
      <c r="S169" s="1" t="s">
        <v>16</v>
      </c>
    </row>
    <row r="170" spans="17:39">
      <c r="S170" s="1" t="s">
        <v>17</v>
      </c>
    </row>
    <row r="171" spans="17:39">
      <c r="S171" s="1" t="s">
        <v>18</v>
      </c>
    </row>
    <row r="173" spans="17:39" ht="15">
      <c r="Q173" s="2" t="s">
        <v>1487</v>
      </c>
      <c r="AM173" s="2" t="s">
        <v>146</v>
      </c>
    </row>
    <row r="189" spans="2:16" ht="15" customHeight="1"/>
    <row r="190" spans="2:16">
      <c r="B190" s="1" t="s">
        <v>1524</v>
      </c>
      <c r="J190" s="1" t="s">
        <v>1696</v>
      </c>
    </row>
    <row r="191" spans="2:16">
      <c r="B191" s="1" t="s">
        <v>1525</v>
      </c>
      <c r="J191" s="1" t="s">
        <v>1441</v>
      </c>
    </row>
    <row r="192" spans="2:16">
      <c r="B192" s="24" t="s">
        <v>20</v>
      </c>
      <c r="C192" s="24" t="s">
        <v>21</v>
      </c>
      <c r="D192" s="24" t="s">
        <v>22</v>
      </c>
      <c r="E192" s="24" t="s">
        <v>23</v>
      </c>
      <c r="F192" s="24" t="s">
        <v>24</v>
      </c>
      <c r="G192" s="24" t="s">
        <v>25</v>
      </c>
      <c r="H192" s="24" t="s">
        <v>26</v>
      </c>
      <c r="J192" s="24" t="s">
        <v>20</v>
      </c>
      <c r="K192" s="24" t="s">
        <v>21</v>
      </c>
      <c r="L192" s="24" t="s">
        <v>22</v>
      </c>
      <c r="M192" s="24" t="s">
        <v>23</v>
      </c>
      <c r="N192" s="24" t="s">
        <v>24</v>
      </c>
      <c r="O192" s="24" t="s">
        <v>25</v>
      </c>
      <c r="P192" s="24" t="s">
        <v>26</v>
      </c>
    </row>
    <row r="193" spans="2:19">
      <c r="B193" s="44">
        <v>626.89</v>
      </c>
      <c r="C193" s="44">
        <v>631.16999999999996</v>
      </c>
      <c r="D193" s="44">
        <v>623.11500000000001</v>
      </c>
      <c r="E193" s="44">
        <v>626.92999999999995</v>
      </c>
      <c r="F193" s="44">
        <v>9248752</v>
      </c>
      <c r="G193" s="44" t="s">
        <v>1526</v>
      </c>
      <c r="H193" s="25">
        <f>B193/E193-1</f>
        <v>-6.3802976408844359E-5</v>
      </c>
      <c r="J193" s="44">
        <v>485.84</v>
      </c>
      <c r="K193" s="44">
        <v>495.57</v>
      </c>
      <c r="L193" s="44">
        <v>479.61</v>
      </c>
      <c r="M193" s="44">
        <v>480.5</v>
      </c>
      <c r="N193" s="44">
        <v>1981065</v>
      </c>
      <c r="O193" s="44" t="s">
        <v>1526</v>
      </c>
      <c r="P193" s="25">
        <f>J193/M193-1</f>
        <v>1.1113423517169485E-2</v>
      </c>
    </row>
    <row r="194" spans="2:19">
      <c r="B194" s="44">
        <v>626.49</v>
      </c>
      <c r="C194" s="44">
        <v>639.52</v>
      </c>
      <c r="D194" s="44">
        <v>625.76</v>
      </c>
      <c r="E194" s="44">
        <v>638.51</v>
      </c>
      <c r="F194" s="44">
        <v>8866872</v>
      </c>
      <c r="G194" s="44" t="s">
        <v>1527</v>
      </c>
      <c r="H194" s="25">
        <f t="shared" ref="H194:H257" si="0">B194/E194-1</f>
        <v>-1.8825077132699541E-2</v>
      </c>
      <c r="J194" s="44">
        <v>478.6</v>
      </c>
      <c r="K194" s="44">
        <v>497.84</v>
      </c>
      <c r="L194" s="44">
        <v>475.83</v>
      </c>
      <c r="M194" s="44">
        <v>496.12</v>
      </c>
      <c r="N194" s="44">
        <v>2962887</v>
      </c>
      <c r="O194" s="44" t="s">
        <v>1527</v>
      </c>
      <c r="P194" s="25">
        <f t="shared" ref="P194:P257" si="1">J194/M194-1</f>
        <v>-3.5314036926549996E-2</v>
      </c>
    </row>
    <row r="195" spans="2:19">
      <c r="B195" s="44">
        <v>636.35</v>
      </c>
      <c r="C195" s="44">
        <v>641.15</v>
      </c>
      <c r="D195" s="44">
        <v>633.84</v>
      </c>
      <c r="E195" s="44">
        <v>640.49</v>
      </c>
      <c r="F195" s="44">
        <v>5317092</v>
      </c>
      <c r="G195" s="44" t="s">
        <v>1528</v>
      </c>
      <c r="H195" s="25">
        <f t="shared" si="0"/>
        <v>-6.4638011522427652E-3</v>
      </c>
      <c r="J195" s="44">
        <v>496.12</v>
      </c>
      <c r="K195" s="44">
        <v>500.34</v>
      </c>
      <c r="L195" s="44">
        <v>490.66</v>
      </c>
      <c r="M195" s="44">
        <v>492.75</v>
      </c>
      <c r="N195" s="44">
        <v>1926402</v>
      </c>
      <c r="O195" s="44" t="s">
        <v>1528</v>
      </c>
      <c r="P195" s="25">
        <f t="shared" si="1"/>
        <v>6.8391679350583434E-3</v>
      </c>
    </row>
    <row r="196" spans="2:19">
      <c r="B196" s="44">
        <v>636.44000000000005</v>
      </c>
      <c r="C196" s="44">
        <v>640.62</v>
      </c>
      <c r="D196" s="44">
        <v>636.08000000000004</v>
      </c>
      <c r="E196" s="44">
        <v>639.14</v>
      </c>
      <c r="F196" s="44">
        <v>13619951</v>
      </c>
      <c r="G196" s="44" t="s">
        <v>1529</v>
      </c>
      <c r="H196" s="25">
        <f t="shared" si="0"/>
        <v>-4.2244265732076514E-3</v>
      </c>
      <c r="J196" s="44">
        <v>495.15</v>
      </c>
      <c r="K196" s="44">
        <v>500.37560000000002</v>
      </c>
      <c r="L196" s="44">
        <v>493.5258</v>
      </c>
      <c r="M196" s="44">
        <v>494.22</v>
      </c>
      <c r="N196" s="44">
        <v>1805098</v>
      </c>
      <c r="O196" s="44" t="s">
        <v>1529</v>
      </c>
      <c r="P196" s="25">
        <f t="shared" si="1"/>
        <v>1.8817530654362535E-3</v>
      </c>
    </row>
    <row r="197" spans="2:19">
      <c r="B197" s="44">
        <v>638.23</v>
      </c>
      <c r="C197" s="44">
        <v>639.99</v>
      </c>
      <c r="D197" s="44">
        <v>633.11</v>
      </c>
      <c r="E197" s="44">
        <v>634.07000000000005</v>
      </c>
      <c r="F197" s="44">
        <v>8885179</v>
      </c>
      <c r="G197" s="44" t="s">
        <v>1530</v>
      </c>
      <c r="H197" s="25">
        <f t="shared" si="0"/>
        <v>6.5607898181587743E-3</v>
      </c>
      <c r="J197" s="44">
        <v>492.84</v>
      </c>
      <c r="K197" s="44">
        <v>493.54</v>
      </c>
      <c r="L197" s="44">
        <v>483.9</v>
      </c>
      <c r="M197" s="44">
        <v>486.05</v>
      </c>
      <c r="N197" s="44">
        <v>2180867</v>
      </c>
      <c r="O197" s="44" t="s">
        <v>1530</v>
      </c>
      <c r="P197" s="25">
        <f t="shared" si="1"/>
        <v>1.3969756197921956E-2</v>
      </c>
    </row>
    <row r="198" spans="2:19">
      <c r="B198" s="44">
        <v>635.24</v>
      </c>
      <c r="C198" s="44">
        <v>636.72</v>
      </c>
      <c r="D198" s="44">
        <v>626.20000000000005</v>
      </c>
      <c r="E198" s="44">
        <v>626.72</v>
      </c>
      <c r="F198" s="44">
        <v>12959420</v>
      </c>
      <c r="G198" s="44" t="s">
        <v>1531</v>
      </c>
      <c r="H198" s="25">
        <f t="shared" si="0"/>
        <v>1.3594587694664151E-2</v>
      </c>
      <c r="J198" s="44">
        <v>488.15</v>
      </c>
      <c r="K198" s="44">
        <v>491.65</v>
      </c>
      <c r="L198" s="44">
        <v>480.07</v>
      </c>
      <c r="M198" s="44">
        <v>482.16500000000002</v>
      </c>
      <c r="N198" s="44">
        <v>2518023</v>
      </c>
      <c r="O198" s="44" t="s">
        <v>1531</v>
      </c>
      <c r="P198" s="25">
        <f t="shared" si="1"/>
        <v>1.2412763265686966E-2</v>
      </c>
    </row>
    <row r="199" spans="2:19">
      <c r="B199" s="44">
        <v>623.1</v>
      </c>
      <c r="C199" s="44">
        <v>628.75</v>
      </c>
      <c r="D199" s="44">
        <v>621.5</v>
      </c>
      <c r="E199" s="44">
        <v>626.24</v>
      </c>
      <c r="F199" s="44">
        <v>11506981</v>
      </c>
      <c r="G199" s="44" t="s">
        <v>1532</v>
      </c>
      <c r="H199" s="25">
        <f t="shared" si="0"/>
        <v>-5.0140521205926936E-3</v>
      </c>
      <c r="J199" s="44">
        <v>476.32</v>
      </c>
      <c r="K199" s="44">
        <v>489.51</v>
      </c>
      <c r="L199" s="44">
        <v>475.17</v>
      </c>
      <c r="M199" s="44">
        <v>482.78</v>
      </c>
      <c r="N199" s="44">
        <v>2694556</v>
      </c>
      <c r="O199" s="44" t="s">
        <v>1532</v>
      </c>
      <c r="P199" s="25">
        <f t="shared" si="1"/>
        <v>-1.3380835991548934E-2</v>
      </c>
    </row>
    <row r="200" spans="2:19">
      <c r="B200" s="44">
        <v>630.91</v>
      </c>
      <c r="C200" s="44">
        <v>635.91999999999996</v>
      </c>
      <c r="D200" s="44">
        <v>627</v>
      </c>
      <c r="E200" s="44">
        <v>634.92999999999995</v>
      </c>
      <c r="F200" s="44">
        <v>11228241</v>
      </c>
      <c r="G200" s="44" t="s">
        <v>1533</v>
      </c>
      <c r="H200" s="25">
        <f t="shared" si="0"/>
        <v>-6.3314066117524659E-3</v>
      </c>
      <c r="J200" s="44">
        <v>478.49</v>
      </c>
      <c r="K200" s="44">
        <v>481.19</v>
      </c>
      <c r="L200" s="44">
        <v>465.68900000000002</v>
      </c>
      <c r="M200" s="44">
        <v>480.10500000000002</v>
      </c>
      <c r="N200" s="44">
        <v>3402220</v>
      </c>
      <c r="O200" s="44" t="s">
        <v>1533</v>
      </c>
      <c r="P200" s="25">
        <f t="shared" si="1"/>
        <v>-3.3638474916944938E-3</v>
      </c>
    </row>
    <row r="201" spans="2:19">
      <c r="B201" s="44">
        <v>634.15</v>
      </c>
      <c r="C201" s="44">
        <v>641</v>
      </c>
      <c r="D201" s="44">
        <v>629.10500000000002</v>
      </c>
      <c r="E201" s="44">
        <v>640.33000000000004</v>
      </c>
      <c r="F201" s="44">
        <v>9644195</v>
      </c>
      <c r="G201" s="44" t="s">
        <v>1534</v>
      </c>
      <c r="H201" s="25">
        <f t="shared" si="0"/>
        <v>-9.6512735620696288E-3</v>
      </c>
      <c r="J201" s="44">
        <v>478.88</v>
      </c>
      <c r="K201" s="44">
        <v>499</v>
      </c>
      <c r="L201" s="44">
        <v>476.79</v>
      </c>
      <c r="M201" s="44">
        <v>495.21</v>
      </c>
      <c r="N201" s="44">
        <v>3781824</v>
      </c>
      <c r="O201" s="44" t="s">
        <v>1534</v>
      </c>
      <c r="P201" s="25">
        <f t="shared" si="1"/>
        <v>-3.2975909210233967E-2</v>
      </c>
    </row>
    <row r="202" spans="2:19">
      <c r="B202" s="44">
        <v>639.67999999999995</v>
      </c>
      <c r="C202" s="44">
        <v>640.96</v>
      </c>
      <c r="D202" s="44">
        <v>634.07000000000005</v>
      </c>
      <c r="E202" s="44">
        <v>634.17999999999995</v>
      </c>
      <c r="F202" s="44">
        <v>9124531</v>
      </c>
      <c r="G202" s="44" t="s">
        <v>1535</v>
      </c>
      <c r="H202" s="25">
        <f t="shared" si="0"/>
        <v>8.6726166072723654E-3</v>
      </c>
      <c r="J202" s="44">
        <v>496.73</v>
      </c>
      <c r="K202" s="44">
        <v>504.2</v>
      </c>
      <c r="L202" s="44">
        <v>496.15</v>
      </c>
      <c r="M202" s="44">
        <v>502</v>
      </c>
      <c r="N202" s="44">
        <v>2108426</v>
      </c>
      <c r="O202" s="44" t="s">
        <v>1535</v>
      </c>
      <c r="P202" s="25">
        <f t="shared" si="1"/>
        <v>-1.0498007968127498E-2</v>
      </c>
    </row>
    <row r="203" spans="2:19">
      <c r="B203" s="44">
        <v>636.22</v>
      </c>
      <c r="C203" s="44">
        <v>638.45000000000005</v>
      </c>
      <c r="D203" s="44">
        <v>631.95000000000005</v>
      </c>
      <c r="E203" s="44">
        <v>636.25</v>
      </c>
      <c r="F203" s="44">
        <v>6519552</v>
      </c>
      <c r="G203" s="44" t="s">
        <v>1536</v>
      </c>
      <c r="H203" s="25">
        <f t="shared" si="0"/>
        <v>-4.71512770137128E-5</v>
      </c>
      <c r="J203" s="44">
        <v>504.22</v>
      </c>
      <c r="K203" s="44">
        <v>511.03</v>
      </c>
      <c r="L203" s="44">
        <v>501.38499999999999</v>
      </c>
      <c r="M203" s="44">
        <v>506.7</v>
      </c>
      <c r="N203" s="44">
        <v>1696613</v>
      </c>
      <c r="O203" s="44" t="s">
        <v>1536</v>
      </c>
      <c r="P203" s="25">
        <f t="shared" si="1"/>
        <v>-4.8944148411288468E-3</v>
      </c>
    </row>
    <row r="204" spans="2:19">
      <c r="B204" s="44">
        <v>638.27</v>
      </c>
      <c r="C204" s="44">
        <v>641.04</v>
      </c>
      <c r="D204" s="44">
        <v>629.82000000000005</v>
      </c>
      <c r="E204" s="44">
        <v>640.42999999999995</v>
      </c>
      <c r="F204" s="44">
        <v>8485857</v>
      </c>
      <c r="G204" s="44" t="s">
        <v>1537</v>
      </c>
      <c r="H204" s="25">
        <f t="shared" si="0"/>
        <v>-3.37273394438109E-3</v>
      </c>
      <c r="J204" s="44">
        <v>507.55</v>
      </c>
      <c r="K204" s="44">
        <v>522</v>
      </c>
      <c r="L204" s="44">
        <v>502.48</v>
      </c>
      <c r="M204" s="44">
        <v>521.16999999999996</v>
      </c>
      <c r="N204" s="44">
        <v>2127431</v>
      </c>
      <c r="O204" s="44" t="s">
        <v>1537</v>
      </c>
      <c r="P204" s="25">
        <f t="shared" si="1"/>
        <v>-2.6133507300880598E-2</v>
      </c>
    </row>
    <row r="205" spans="2:19">
      <c r="B205" s="44">
        <v>639.6</v>
      </c>
      <c r="C205" s="44">
        <v>641.80999999999995</v>
      </c>
      <c r="D205" s="44">
        <v>638.22</v>
      </c>
      <c r="E205" s="44">
        <v>641.04999999999995</v>
      </c>
      <c r="F205" s="44">
        <v>5488373</v>
      </c>
      <c r="G205" s="44" t="s">
        <v>1538</v>
      </c>
      <c r="H205" s="25">
        <f t="shared" si="0"/>
        <v>-2.2619140472660559E-3</v>
      </c>
      <c r="J205" s="44">
        <v>522.04</v>
      </c>
      <c r="K205" s="44">
        <v>529.36</v>
      </c>
      <c r="L205" s="44">
        <v>520.24</v>
      </c>
      <c r="M205" s="44">
        <v>523.91</v>
      </c>
      <c r="N205" s="44">
        <v>1848874</v>
      </c>
      <c r="O205" s="44" t="s">
        <v>1538</v>
      </c>
      <c r="P205" s="25">
        <f t="shared" si="1"/>
        <v>-3.569315340421042E-3</v>
      </c>
    </row>
    <row r="206" spans="2:19">
      <c r="B206" s="44">
        <v>639.70000000000005</v>
      </c>
      <c r="C206" s="44">
        <v>640.59590000000003</v>
      </c>
      <c r="D206" s="44">
        <v>637.87</v>
      </c>
      <c r="E206" s="44">
        <v>638.41999999999996</v>
      </c>
      <c r="F206" s="44">
        <v>4308306</v>
      </c>
      <c r="G206" s="44" t="s">
        <v>1539</v>
      </c>
      <c r="H206" s="25">
        <f t="shared" si="0"/>
        <v>2.0049497196203969E-3</v>
      </c>
      <c r="J206" s="44">
        <v>525.04</v>
      </c>
      <c r="K206" s="44">
        <v>535</v>
      </c>
      <c r="L206" s="44">
        <v>523.54</v>
      </c>
      <c r="M206" s="44">
        <v>532.61</v>
      </c>
      <c r="N206" s="44">
        <v>1477091</v>
      </c>
      <c r="O206" s="44" t="s">
        <v>1539</v>
      </c>
      <c r="P206" s="25">
        <f t="shared" si="1"/>
        <v>-1.4213026417078223E-2</v>
      </c>
      <c r="R206" s="1" t="s">
        <v>15</v>
      </c>
      <c r="S206" s="1" t="s">
        <v>16</v>
      </c>
    </row>
    <row r="207" spans="2:19">
      <c r="B207" s="44">
        <v>637.09</v>
      </c>
      <c r="C207" s="44">
        <v>638.39</v>
      </c>
      <c r="D207" s="44">
        <v>634.52</v>
      </c>
      <c r="E207" s="44">
        <v>635.03</v>
      </c>
      <c r="F207" s="44">
        <v>8976388</v>
      </c>
      <c r="G207" s="44" t="s">
        <v>1540</v>
      </c>
      <c r="H207" s="25">
        <f t="shared" si="0"/>
        <v>3.2439412311229265E-3</v>
      </c>
      <c r="J207" s="44">
        <v>528.80999999999995</v>
      </c>
      <c r="K207" s="44">
        <v>533.97</v>
      </c>
      <c r="L207" s="44">
        <v>518.65</v>
      </c>
      <c r="M207" s="44">
        <v>523.94500000000005</v>
      </c>
      <c r="N207" s="44">
        <v>2492449</v>
      </c>
      <c r="O207" s="44" t="s">
        <v>1540</v>
      </c>
      <c r="P207" s="25">
        <f t="shared" si="1"/>
        <v>9.2853257498399788E-3</v>
      </c>
      <c r="S207" s="1" t="s">
        <v>17</v>
      </c>
    </row>
    <row r="208" spans="2:19">
      <c r="B208" s="44">
        <v>633.83000000000004</v>
      </c>
      <c r="C208" s="44">
        <v>635.47050000000002</v>
      </c>
      <c r="D208" s="44">
        <v>631.97</v>
      </c>
      <c r="E208" s="44">
        <v>632.88</v>
      </c>
      <c r="F208" s="44">
        <v>5827254</v>
      </c>
      <c r="G208" s="44" t="s">
        <v>1541</v>
      </c>
      <c r="H208" s="25">
        <f t="shared" si="0"/>
        <v>1.5010744532930609E-3</v>
      </c>
      <c r="J208" s="44">
        <v>523.99</v>
      </c>
      <c r="K208" s="44">
        <v>540</v>
      </c>
      <c r="L208" s="44">
        <v>521.17999999999995</v>
      </c>
      <c r="M208" s="44">
        <v>530</v>
      </c>
      <c r="N208" s="44">
        <v>2763321</v>
      </c>
      <c r="O208" s="44" t="s">
        <v>1541</v>
      </c>
      <c r="P208" s="25">
        <f t="shared" si="1"/>
        <v>-1.133962264150945E-2</v>
      </c>
      <c r="S208" s="1" t="s">
        <v>18</v>
      </c>
    </row>
    <row r="209" spans="2:26">
      <c r="B209" s="44">
        <v>633.57000000000005</v>
      </c>
      <c r="C209" s="44">
        <v>635.62</v>
      </c>
      <c r="D209" s="44">
        <v>631.75</v>
      </c>
      <c r="E209" s="44">
        <v>634.42999999999995</v>
      </c>
      <c r="F209" s="44">
        <v>6057784</v>
      </c>
      <c r="G209" s="44" t="s">
        <v>1542</v>
      </c>
      <c r="H209" s="25">
        <f t="shared" si="0"/>
        <v>-1.3555474993299788E-3</v>
      </c>
      <c r="J209" s="44">
        <v>525.80999999999995</v>
      </c>
      <c r="K209" s="44">
        <v>532</v>
      </c>
      <c r="L209" s="44">
        <v>522.72</v>
      </c>
      <c r="M209" s="44">
        <v>525.40499999999997</v>
      </c>
      <c r="N209" s="44">
        <v>2793788</v>
      </c>
      <c r="O209" s="44" t="s">
        <v>1542</v>
      </c>
      <c r="P209" s="25">
        <f t="shared" si="1"/>
        <v>7.7083392811250206E-4</v>
      </c>
    </row>
    <row r="210" spans="2:26">
      <c r="B210" s="44">
        <v>630.29</v>
      </c>
      <c r="C210" s="44">
        <v>633.4</v>
      </c>
      <c r="D210" s="44">
        <v>623.65</v>
      </c>
      <c r="E210" s="44">
        <v>625.02</v>
      </c>
      <c r="F210" s="44">
        <v>10354978</v>
      </c>
      <c r="G210" s="44" t="s">
        <v>1543</v>
      </c>
      <c r="H210" s="25">
        <f t="shared" si="0"/>
        <v>8.4317301846341675E-3</v>
      </c>
      <c r="J210" s="44">
        <v>523.69000000000005</v>
      </c>
      <c r="K210" s="44">
        <v>530.04999999999995</v>
      </c>
      <c r="L210" s="44">
        <v>518.64</v>
      </c>
      <c r="M210" s="44">
        <v>527.59</v>
      </c>
      <c r="N210" s="44">
        <v>2021976</v>
      </c>
      <c r="O210" s="44" t="s">
        <v>1543</v>
      </c>
      <c r="P210" s="25">
        <f t="shared" si="1"/>
        <v>-7.3921037169013548E-3</v>
      </c>
      <c r="R210" s="26"/>
      <c r="S210" s="26" t="s">
        <v>27</v>
      </c>
      <c r="T210" s="27">
        <f>MIN(P193:P1618)</f>
        <v>-8.2400000000000029E-2</v>
      </c>
    </row>
    <row r="211" spans="2:26">
      <c r="B211" s="44">
        <v>623.15</v>
      </c>
      <c r="C211" s="44">
        <v>629.75990000000002</v>
      </c>
      <c r="D211" s="44">
        <v>622.22</v>
      </c>
      <c r="E211" s="44">
        <v>626.76</v>
      </c>
      <c r="F211" s="44">
        <v>14877629</v>
      </c>
      <c r="G211" s="44" t="s">
        <v>1544</v>
      </c>
      <c r="H211" s="25">
        <f t="shared" si="0"/>
        <v>-5.7597804582296686E-3</v>
      </c>
      <c r="J211" s="44">
        <v>527.44000000000005</v>
      </c>
      <c r="K211" s="44">
        <v>532.60500000000002</v>
      </c>
      <c r="L211" s="44">
        <v>525.23</v>
      </c>
      <c r="M211" s="44">
        <v>527</v>
      </c>
      <c r="N211" s="44">
        <v>2149740</v>
      </c>
      <c r="O211" s="44" t="s">
        <v>1544</v>
      </c>
      <c r="P211" s="25">
        <f t="shared" si="1"/>
        <v>8.3491461100582143E-4</v>
      </c>
      <c r="R211" s="26"/>
      <c r="S211" s="26" t="s">
        <v>28</v>
      </c>
      <c r="T211" s="27">
        <f>MAX(P193:P1618)</f>
        <v>0.16211111111111132</v>
      </c>
    </row>
    <row r="212" spans="2:26">
      <c r="B212" s="44">
        <v>636.09</v>
      </c>
      <c r="C212" s="44">
        <v>638.50990000000002</v>
      </c>
      <c r="D212" s="44">
        <v>634.67999999999995</v>
      </c>
      <c r="E212" s="44">
        <v>637.96</v>
      </c>
      <c r="F212" s="44">
        <v>6694041</v>
      </c>
      <c r="G212" s="44" t="s">
        <v>1545</v>
      </c>
      <c r="H212" s="25">
        <f t="shared" si="0"/>
        <v>-2.9312182581979762E-3</v>
      </c>
      <c r="J212" s="44">
        <v>535</v>
      </c>
      <c r="K212" s="44">
        <v>543</v>
      </c>
      <c r="L212" s="44">
        <v>532.63009999999997</v>
      </c>
      <c r="M212" s="44">
        <v>542</v>
      </c>
      <c r="N212" s="44">
        <v>3007245</v>
      </c>
      <c r="O212" s="44" t="s">
        <v>1545</v>
      </c>
      <c r="P212" s="25">
        <f t="shared" si="1"/>
        <v>-1.291512915129156E-2</v>
      </c>
      <c r="R212" s="26"/>
      <c r="S212" s="26" t="s">
        <v>29</v>
      </c>
      <c r="T212" s="27">
        <f>AVERAGE(P193:P1618)</f>
        <v>2.7790103413030226E-4</v>
      </c>
    </row>
    <row r="213" spans="2:26">
      <c r="B213" s="44">
        <v>636.62</v>
      </c>
      <c r="C213" s="44">
        <v>639.58000000000004</v>
      </c>
      <c r="D213" s="44">
        <v>635.70000000000005</v>
      </c>
      <c r="E213" s="44">
        <v>638.77</v>
      </c>
      <c r="F213" s="44">
        <v>6751601</v>
      </c>
      <c r="G213" s="44" t="s">
        <v>1546</v>
      </c>
      <c r="H213" s="25">
        <f t="shared" si="0"/>
        <v>-3.3658437309203038E-3</v>
      </c>
      <c r="J213" s="44">
        <v>541.34</v>
      </c>
      <c r="K213" s="44">
        <v>553.74</v>
      </c>
      <c r="L213" s="44">
        <v>535.69000000000005</v>
      </c>
      <c r="M213" s="44">
        <v>553.74</v>
      </c>
      <c r="N213" s="44">
        <v>1899473</v>
      </c>
      <c r="O213" s="44" t="s">
        <v>1546</v>
      </c>
      <c r="P213" s="25">
        <f t="shared" si="1"/>
        <v>-2.2393180915230904E-2</v>
      </c>
      <c r="R213" s="26"/>
      <c r="S213" s="26" t="s">
        <v>30</v>
      </c>
      <c r="T213" s="27">
        <f>MEDIAN(P193:P1618)</f>
        <v>7.5241509411339003E-4</v>
      </c>
    </row>
    <row r="214" spans="2:26" ht="15">
      <c r="B214" s="44">
        <v>634.94000000000005</v>
      </c>
      <c r="C214" s="44">
        <v>636.11900000000003</v>
      </c>
      <c r="D214" s="44">
        <v>631</v>
      </c>
      <c r="E214" s="44">
        <v>635.49</v>
      </c>
      <c r="F214" s="44">
        <v>8576256</v>
      </c>
      <c r="G214" s="44" t="s">
        <v>1547</v>
      </c>
      <c r="H214" s="25">
        <f t="shared" si="0"/>
        <v>-8.6547388629243382E-4</v>
      </c>
      <c r="J214" s="44">
        <v>546.76</v>
      </c>
      <c r="K214" s="44">
        <v>551</v>
      </c>
      <c r="L214" s="44">
        <v>528</v>
      </c>
      <c r="M214" s="44">
        <v>533.96</v>
      </c>
      <c r="N214" s="44">
        <v>3597689</v>
      </c>
      <c r="O214" s="44" t="s">
        <v>1547</v>
      </c>
      <c r="P214" s="25">
        <f t="shared" si="1"/>
        <v>2.3971833096112061E-2</v>
      </c>
      <c r="R214" s="26"/>
      <c r="S214" s="26" t="s">
        <v>31</v>
      </c>
      <c r="T214" s="27">
        <f>_xlfn.STDEV.P(P193:P1618)</f>
        <v>1.7000062659949119E-2</v>
      </c>
      <c r="V214" s="2"/>
    </row>
    <row r="215" spans="2:26" ht="15">
      <c r="B215" s="44">
        <v>638.03</v>
      </c>
      <c r="C215" s="44">
        <v>640.15070000000003</v>
      </c>
      <c r="D215" s="44">
        <v>635.81500000000005</v>
      </c>
      <c r="E215" s="44">
        <v>639.67999999999995</v>
      </c>
      <c r="F215" s="44">
        <v>8837128</v>
      </c>
      <c r="G215" s="44" t="s">
        <v>1548</v>
      </c>
      <c r="H215" s="25">
        <f t="shared" si="0"/>
        <v>-2.5794147073536777E-3</v>
      </c>
      <c r="J215" s="44">
        <v>561.82000000000005</v>
      </c>
      <c r="K215" s="44">
        <v>572.59</v>
      </c>
      <c r="L215" s="44">
        <v>556.04</v>
      </c>
      <c r="M215" s="44">
        <v>571.45000000000005</v>
      </c>
      <c r="N215" s="44">
        <v>1509670</v>
      </c>
      <c r="O215" s="44" t="s">
        <v>1548</v>
      </c>
      <c r="P215" s="25">
        <f t="shared" si="1"/>
        <v>-1.6851868054947983E-2</v>
      </c>
      <c r="R215" s="26"/>
      <c r="S215" s="28" t="s">
        <v>32</v>
      </c>
      <c r="T215" s="27">
        <f>3*T214</f>
        <v>5.1000187979847358E-2</v>
      </c>
      <c r="U215" s="26"/>
      <c r="V215" s="2" t="s">
        <v>155</v>
      </c>
    </row>
    <row r="216" spans="2:26" ht="15">
      <c r="B216" s="44">
        <v>639.34</v>
      </c>
      <c r="C216" s="44">
        <v>640.16</v>
      </c>
      <c r="D216" s="44">
        <v>635.16</v>
      </c>
      <c r="E216" s="44">
        <v>635.19000000000005</v>
      </c>
      <c r="F216" s="44">
        <v>7889884</v>
      </c>
      <c r="G216" s="44" t="s">
        <v>1549</v>
      </c>
      <c r="H216" s="25">
        <f t="shared" si="0"/>
        <v>6.5334781718855428E-3</v>
      </c>
      <c r="J216" s="44">
        <v>572.745</v>
      </c>
      <c r="K216" s="44">
        <v>582.19000000000005</v>
      </c>
      <c r="L216" s="44">
        <v>566.79999999999995</v>
      </c>
      <c r="M216" s="44">
        <v>581.97</v>
      </c>
      <c r="N216" s="44">
        <v>1824961</v>
      </c>
      <c r="O216" s="44" t="s">
        <v>1549</v>
      </c>
      <c r="P216" s="25">
        <f t="shared" si="1"/>
        <v>-1.5851332542914598E-2</v>
      </c>
      <c r="R216" s="26"/>
      <c r="S216" s="28" t="s">
        <v>33</v>
      </c>
      <c r="T216" s="93">
        <f>_xlfn.COVARIANCE.P(P193:P442,H193:H442)/_xlfn.VAR.P(H193:H442)</f>
        <v>1.3586619071446078</v>
      </c>
      <c r="U216" s="26"/>
      <c r="V216" s="2" t="s">
        <v>34</v>
      </c>
    </row>
    <row r="217" spans="2:26">
      <c r="B217" s="44">
        <v>638.30999999999995</v>
      </c>
      <c r="C217" s="44">
        <v>639.44000000000005</v>
      </c>
      <c r="D217" s="44">
        <v>633.79999999999995</v>
      </c>
      <c r="E217" s="44">
        <v>635.15</v>
      </c>
      <c r="F217" s="44">
        <v>7843716</v>
      </c>
      <c r="G217" s="44" t="s">
        <v>1550</v>
      </c>
      <c r="H217" s="25">
        <f t="shared" si="0"/>
        <v>4.9752027080216532E-3</v>
      </c>
      <c r="J217" s="44">
        <v>586.24</v>
      </c>
      <c r="K217" s="44">
        <v>589.58000000000004</v>
      </c>
      <c r="L217" s="44">
        <v>579.62</v>
      </c>
      <c r="M217" s="44">
        <v>587.32000000000005</v>
      </c>
      <c r="N217" s="44">
        <v>1488926</v>
      </c>
      <c r="O217" s="44" t="s">
        <v>1550</v>
      </c>
      <c r="P217" s="25">
        <f t="shared" si="1"/>
        <v>-1.8388612681332628E-3</v>
      </c>
    </row>
    <row r="218" spans="2:26">
      <c r="B218" s="44">
        <v>634.05999999999995</v>
      </c>
      <c r="C218" s="44">
        <v>635.1001</v>
      </c>
      <c r="D218" s="44">
        <v>632.23620000000005</v>
      </c>
      <c r="E218" s="44">
        <v>633.48</v>
      </c>
      <c r="F218" s="44">
        <v>8962799</v>
      </c>
      <c r="G218" s="44" t="s">
        <v>1551</v>
      </c>
      <c r="H218" s="25">
        <f t="shared" si="0"/>
        <v>9.155774452231924E-4</v>
      </c>
      <c r="J218" s="44">
        <v>585.08000000000004</v>
      </c>
      <c r="K218" s="44">
        <v>589.95000000000005</v>
      </c>
      <c r="L218" s="44">
        <v>582.68499999999995</v>
      </c>
      <c r="M218" s="44">
        <v>582.68499999999995</v>
      </c>
      <c r="N218" s="44">
        <v>1468272</v>
      </c>
      <c r="O218" s="44" t="s">
        <v>1551</v>
      </c>
      <c r="P218" s="25">
        <f t="shared" si="1"/>
        <v>4.1102825712007185E-3</v>
      </c>
    </row>
    <row r="219" spans="2:26">
      <c r="B219" s="44">
        <v>634.16999999999996</v>
      </c>
      <c r="C219" s="44">
        <v>638.22</v>
      </c>
      <c r="D219" s="44">
        <v>633.92999999999995</v>
      </c>
      <c r="E219" s="44">
        <v>636.58000000000004</v>
      </c>
      <c r="F219" s="44">
        <v>8796759</v>
      </c>
      <c r="G219" s="44" t="s">
        <v>1552</v>
      </c>
      <c r="H219" s="25">
        <f t="shared" si="0"/>
        <v>-3.7858556662164755E-3</v>
      </c>
      <c r="J219" s="44">
        <v>592.27</v>
      </c>
      <c r="K219" s="44">
        <v>603.88</v>
      </c>
      <c r="L219" s="44">
        <v>590.79999999999995</v>
      </c>
      <c r="M219" s="44">
        <v>592.89</v>
      </c>
      <c r="N219" s="44">
        <v>1861335</v>
      </c>
      <c r="O219" s="44" t="s">
        <v>1552</v>
      </c>
      <c r="P219" s="25">
        <f t="shared" si="1"/>
        <v>-1.0457251766770037E-3</v>
      </c>
      <c r="R219" s="29" t="s">
        <v>35</v>
      </c>
      <c r="S219" s="30">
        <v>1256</v>
      </c>
    </row>
    <row r="220" spans="2:26" ht="15" thickBot="1">
      <c r="B220" s="44">
        <v>636.21</v>
      </c>
      <c r="C220" s="44">
        <v>636.67999999999995</v>
      </c>
      <c r="D220" s="44">
        <v>632.53</v>
      </c>
      <c r="E220" s="44">
        <v>632.64</v>
      </c>
      <c r="F220" s="44">
        <v>8630900</v>
      </c>
      <c r="G220" s="44" t="s">
        <v>1553</v>
      </c>
      <c r="H220" s="25">
        <f t="shared" si="0"/>
        <v>5.6430197268588778E-3</v>
      </c>
      <c r="J220" s="44">
        <v>592.85</v>
      </c>
      <c r="K220" s="44">
        <v>594.62</v>
      </c>
      <c r="L220" s="44">
        <v>564.34500000000003</v>
      </c>
      <c r="M220" s="44">
        <v>565</v>
      </c>
      <c r="N220" s="44">
        <v>2627158</v>
      </c>
      <c r="O220" s="44" t="s">
        <v>1553</v>
      </c>
      <c r="P220" s="25">
        <f t="shared" si="1"/>
        <v>4.9292035398230238E-2</v>
      </c>
      <c r="R220" s="1" t="s">
        <v>36</v>
      </c>
      <c r="U220" s="1" t="s">
        <v>37</v>
      </c>
      <c r="Y220" s="1" t="s">
        <v>38</v>
      </c>
    </row>
    <row r="221" spans="2:26" ht="15" customHeight="1">
      <c r="B221" s="44">
        <v>632.46</v>
      </c>
      <c r="C221" s="44">
        <v>634.04</v>
      </c>
      <c r="D221" s="44">
        <v>631.23</v>
      </c>
      <c r="E221" s="44">
        <v>631.38</v>
      </c>
      <c r="F221" s="44">
        <v>16140408</v>
      </c>
      <c r="G221" s="44" t="s">
        <v>1554</v>
      </c>
      <c r="H221" s="25">
        <f t="shared" si="0"/>
        <v>1.7105388197282689E-3</v>
      </c>
      <c r="J221" s="44">
        <v>566.38</v>
      </c>
      <c r="K221" s="44">
        <v>567.08000000000004</v>
      </c>
      <c r="L221" s="44">
        <v>558</v>
      </c>
      <c r="M221" s="44">
        <v>561.15</v>
      </c>
      <c r="N221" s="44">
        <v>1394183</v>
      </c>
      <c r="O221" s="44" t="s">
        <v>1554</v>
      </c>
      <c r="P221" s="25">
        <f t="shared" si="1"/>
        <v>9.3201461284861953E-3</v>
      </c>
      <c r="R221" s="53" t="s">
        <v>39</v>
      </c>
      <c r="S221" s="53" t="s">
        <v>40</v>
      </c>
      <c r="U221" s="31" t="s">
        <v>41</v>
      </c>
      <c r="V221" s="32" t="s">
        <v>42</v>
      </c>
      <c r="Y221" s="31" t="s">
        <v>43</v>
      </c>
      <c r="Z221" s="32" t="s">
        <v>44</v>
      </c>
    </row>
    <row r="222" spans="2:26" ht="15">
      <c r="B222" s="44">
        <v>628.29999999999995</v>
      </c>
      <c r="C222" s="44">
        <v>631.66</v>
      </c>
      <c r="D222" s="44">
        <v>625.21</v>
      </c>
      <c r="E222" s="44">
        <v>630.63499999999999</v>
      </c>
      <c r="F222" s="44">
        <v>10997544</v>
      </c>
      <c r="G222" s="44" t="s">
        <v>1555</v>
      </c>
      <c r="H222" s="25">
        <f t="shared" si="0"/>
        <v>-3.7026172032951221E-3</v>
      </c>
      <c r="J222" s="44">
        <v>561.98</v>
      </c>
      <c r="K222" s="44">
        <v>567.39</v>
      </c>
      <c r="L222" s="44">
        <v>555.4</v>
      </c>
      <c r="M222" s="44">
        <v>566.78</v>
      </c>
      <c r="N222" s="44">
        <v>1297073</v>
      </c>
      <c r="O222" s="44" t="s">
        <v>1555</v>
      </c>
      <c r="P222" s="25">
        <f t="shared" si="1"/>
        <v>-8.4688944564027535E-3</v>
      </c>
      <c r="R222" s="51">
        <v>-5.1999999999999998E-2</v>
      </c>
      <c r="S222">
        <v>4</v>
      </c>
      <c r="U222" s="50">
        <v>-5.2999999999999999E-2</v>
      </c>
      <c r="V222" s="54">
        <f t="shared" ref="V222:V253" si="2">_xlfn.NORM.DIST(U222,$T$212,$T$214,FALSE)</f>
        <v>0.1728512575411543</v>
      </c>
      <c r="X222" s="1" t="s">
        <v>147</v>
      </c>
      <c r="Y222" s="25">
        <f>T212</f>
        <v>2.7790103413030226E-4</v>
      </c>
      <c r="Z222" s="1">
        <v>0</v>
      </c>
    </row>
    <row r="223" spans="2:26" ht="15" customHeight="1">
      <c r="B223" s="44">
        <v>627.13</v>
      </c>
      <c r="C223" s="44">
        <v>632.14</v>
      </c>
      <c r="D223" s="44">
        <v>626.94000000000005</v>
      </c>
      <c r="E223" s="44">
        <v>631.94000000000005</v>
      </c>
      <c r="F223" s="44">
        <v>5511193</v>
      </c>
      <c r="G223" s="44" t="s">
        <v>1556</v>
      </c>
      <c r="H223" s="25">
        <f t="shared" si="0"/>
        <v>-7.6114821027313262E-3</v>
      </c>
      <c r="J223" s="44">
        <v>566.36</v>
      </c>
      <c r="K223" s="44">
        <v>573.28</v>
      </c>
      <c r="L223" s="44">
        <v>565.77</v>
      </c>
      <c r="M223" s="44">
        <v>572.5</v>
      </c>
      <c r="N223" s="44">
        <v>987499</v>
      </c>
      <c r="O223" s="44" t="s">
        <v>1556</v>
      </c>
      <c r="P223" s="25">
        <f t="shared" si="1"/>
        <v>-1.07248908296943E-2</v>
      </c>
      <c r="R223" s="51">
        <v>-5.0999999999999997E-2</v>
      </c>
      <c r="S223">
        <v>1</v>
      </c>
      <c r="U223" s="50">
        <v>-5.1999999999999998E-2</v>
      </c>
      <c r="V223" s="54">
        <f t="shared" si="2"/>
        <v>0.20748366016130584</v>
      </c>
      <c r="Y223" s="25">
        <f>T212</f>
        <v>2.7790103413030226E-4</v>
      </c>
      <c r="Z223" s="1">
        <v>23.5</v>
      </c>
    </row>
    <row r="224" spans="2:26" ht="15">
      <c r="B224" s="44">
        <v>631.72</v>
      </c>
      <c r="C224" s="44">
        <v>633.21</v>
      </c>
      <c r="D224" s="44">
        <v>631.41</v>
      </c>
      <c r="E224" s="44">
        <v>632.20000000000005</v>
      </c>
      <c r="F224" s="44">
        <v>4150867</v>
      </c>
      <c r="G224" s="44" t="s">
        <v>1557</v>
      </c>
      <c r="H224" s="25">
        <f t="shared" si="0"/>
        <v>-7.5925340082250159E-4</v>
      </c>
      <c r="J224" s="44">
        <v>572.63</v>
      </c>
      <c r="K224" s="44">
        <v>574.77</v>
      </c>
      <c r="L224" s="44">
        <v>570.45000000000005</v>
      </c>
      <c r="M224" s="44">
        <v>572.21</v>
      </c>
      <c r="N224" s="44">
        <v>720406</v>
      </c>
      <c r="O224" s="44" t="s">
        <v>1557</v>
      </c>
      <c r="P224" s="25">
        <f t="shared" si="1"/>
        <v>7.3399626011427799E-4</v>
      </c>
      <c r="R224" s="51">
        <v>-0.05</v>
      </c>
      <c r="S224">
        <v>0</v>
      </c>
      <c r="U224" s="50">
        <v>-5.0999999999999997E-2</v>
      </c>
      <c r="V224" s="54">
        <f t="shared" si="2"/>
        <v>0.24819470946750571</v>
      </c>
      <c r="X224" s="38" t="s">
        <v>148</v>
      </c>
      <c r="Y224" s="46">
        <f>($T$214*-3)+$T$212</f>
        <v>-5.0722286945717059E-2</v>
      </c>
      <c r="Z224" s="1">
        <v>0</v>
      </c>
    </row>
    <row r="225" spans="2:26" ht="15">
      <c r="B225" s="44">
        <v>632.6</v>
      </c>
      <c r="C225" s="44">
        <v>633.79</v>
      </c>
      <c r="D225" s="44">
        <v>630.95000000000005</v>
      </c>
      <c r="E225" s="44">
        <v>632.29999999999995</v>
      </c>
      <c r="F225" s="44">
        <v>6496953</v>
      </c>
      <c r="G225" s="44" t="s">
        <v>1558</v>
      </c>
      <c r="H225" s="25">
        <f t="shared" si="0"/>
        <v>4.744583267437541E-4</v>
      </c>
      <c r="J225" s="44">
        <v>575.4</v>
      </c>
      <c r="K225" s="44">
        <v>580.5</v>
      </c>
      <c r="L225" s="44">
        <v>574.21500000000003</v>
      </c>
      <c r="M225" s="44">
        <v>577.80999999999995</v>
      </c>
      <c r="N225" s="44">
        <v>663232</v>
      </c>
      <c r="O225" s="44" t="s">
        <v>1558</v>
      </c>
      <c r="P225" s="25">
        <f t="shared" si="1"/>
        <v>-4.1709212370848459E-3</v>
      </c>
      <c r="R225" s="51">
        <v>-4.9000000000000002E-2</v>
      </c>
      <c r="S225">
        <v>3</v>
      </c>
      <c r="U225" s="50">
        <v>-0.05</v>
      </c>
      <c r="V225" s="54">
        <f t="shared" si="2"/>
        <v>0.29586827589794307</v>
      </c>
      <c r="X225" s="39"/>
      <c r="Y225" s="46">
        <f>($T$214*-3)+$T$212</f>
        <v>-5.0722286945717059E-2</v>
      </c>
      <c r="Z225" s="1">
        <v>2</v>
      </c>
    </row>
    <row r="226" spans="2:26" ht="15">
      <c r="B226" s="44">
        <v>634.84</v>
      </c>
      <c r="C226" s="44">
        <v>636.07500000000005</v>
      </c>
      <c r="D226" s="44">
        <v>633.88</v>
      </c>
      <c r="E226" s="44">
        <v>635.14</v>
      </c>
      <c r="F226" s="44">
        <v>3829855</v>
      </c>
      <c r="G226" s="44" t="s">
        <v>1559</v>
      </c>
      <c r="H226" s="25">
        <f t="shared" si="0"/>
        <v>-4.7233680763292263E-4</v>
      </c>
      <c r="J226" s="44">
        <v>577.80999999999995</v>
      </c>
      <c r="K226" s="44">
        <v>579.4</v>
      </c>
      <c r="L226" s="44">
        <v>575.96</v>
      </c>
      <c r="M226" s="44">
        <v>578.21</v>
      </c>
      <c r="N226" s="44">
        <v>489218</v>
      </c>
      <c r="O226" s="44" t="s">
        <v>1559</v>
      </c>
      <c r="P226" s="25">
        <f t="shared" si="1"/>
        <v>-6.9179018003850956E-4</v>
      </c>
      <c r="R226" s="51">
        <v>-4.8000000000000001E-2</v>
      </c>
      <c r="S226">
        <v>1</v>
      </c>
      <c r="U226" s="50">
        <f t="shared" ref="U226:U234" si="3">U225+0.001</f>
        <v>-4.9000000000000002E-2</v>
      </c>
      <c r="V226" s="54">
        <f t="shared" si="2"/>
        <v>0.35148074976457166</v>
      </c>
      <c r="X226" s="38" t="s">
        <v>149</v>
      </c>
      <c r="Y226" s="46">
        <f>($T$214*-2)+$T$212</f>
        <v>-3.3722224285767939E-2</v>
      </c>
      <c r="Z226" s="1">
        <v>0</v>
      </c>
    </row>
    <row r="227" spans="2:26" ht="15">
      <c r="B227" s="44">
        <v>634.78</v>
      </c>
      <c r="C227" s="44">
        <v>635.32000000000005</v>
      </c>
      <c r="D227" s="44">
        <v>632.54</v>
      </c>
      <c r="E227" s="44">
        <v>632.66999999999996</v>
      </c>
      <c r="F227" s="44">
        <v>3273415</v>
      </c>
      <c r="G227" s="44" t="s">
        <v>1560</v>
      </c>
      <c r="H227" s="25">
        <f t="shared" si="0"/>
        <v>3.3350719964595488E-3</v>
      </c>
      <c r="J227" s="44">
        <v>577.15</v>
      </c>
      <c r="K227" s="44">
        <v>579.85</v>
      </c>
      <c r="L227" s="44">
        <v>575.03</v>
      </c>
      <c r="M227" s="44">
        <v>577.34</v>
      </c>
      <c r="N227" s="44">
        <v>355183</v>
      </c>
      <c r="O227" s="44" t="s">
        <v>1560</v>
      </c>
      <c r="P227" s="25">
        <f t="shared" si="1"/>
        <v>-3.2909550698034806E-4</v>
      </c>
      <c r="R227" s="51">
        <v>-4.7E-2</v>
      </c>
      <c r="S227">
        <v>1</v>
      </c>
      <c r="U227" s="50">
        <f t="shared" si="3"/>
        <v>-4.8000000000000001E-2</v>
      </c>
      <c r="V227" s="54">
        <f t="shared" si="2"/>
        <v>0.41610405619080482</v>
      </c>
      <c r="X227" s="39"/>
      <c r="Y227" s="46">
        <f>($T$214*-2)+$T$212</f>
        <v>-3.3722224285767939E-2</v>
      </c>
      <c r="Z227" s="1">
        <v>4</v>
      </c>
    </row>
    <row r="228" spans="2:26" ht="15">
      <c r="B228" s="44">
        <v>632.66999999999996</v>
      </c>
      <c r="C228" s="44">
        <v>632.88</v>
      </c>
      <c r="D228" s="44">
        <v>628.91999999999996</v>
      </c>
      <c r="E228" s="44">
        <v>628.94000000000005</v>
      </c>
      <c r="F228" s="44">
        <v>13758872</v>
      </c>
      <c r="G228" s="44" t="s">
        <v>1561</v>
      </c>
      <c r="H228" s="25">
        <f t="shared" si="0"/>
        <v>5.9306134130441279E-3</v>
      </c>
      <c r="J228" s="44">
        <v>577.34</v>
      </c>
      <c r="K228" s="44">
        <v>579.20000000000005</v>
      </c>
      <c r="L228" s="44">
        <v>573.67619999999999</v>
      </c>
      <c r="M228" s="44">
        <v>577.13499999999999</v>
      </c>
      <c r="N228" s="44">
        <v>1272395</v>
      </c>
      <c r="O228" s="44" t="s">
        <v>1561</v>
      </c>
      <c r="P228" s="25">
        <f t="shared" si="1"/>
        <v>3.5520285548451547E-4</v>
      </c>
      <c r="R228" s="51">
        <v>-4.5999999999999999E-2</v>
      </c>
      <c r="S228">
        <v>0</v>
      </c>
      <c r="U228" s="50">
        <f t="shared" si="3"/>
        <v>-4.7E-2</v>
      </c>
      <c r="V228" s="54">
        <f t="shared" si="2"/>
        <v>0.49090744266745562</v>
      </c>
      <c r="X228" s="40" t="s">
        <v>150</v>
      </c>
      <c r="Y228" s="46">
        <f>($T$214*-1)+$T$212</f>
        <v>-1.6722161625818816E-2</v>
      </c>
      <c r="Z228" s="1">
        <v>0</v>
      </c>
    </row>
    <row r="229" spans="2:26" ht="15">
      <c r="B229" s="44">
        <v>629.73</v>
      </c>
      <c r="C229" s="44">
        <v>630.27</v>
      </c>
      <c r="D229" s="44">
        <v>627.79999999999995</v>
      </c>
      <c r="E229" s="44">
        <v>628.96500000000003</v>
      </c>
      <c r="F229" s="44">
        <v>9796066</v>
      </c>
      <c r="G229" s="44" t="s">
        <v>1562</v>
      </c>
      <c r="H229" s="25">
        <f t="shared" si="0"/>
        <v>1.2162838949703048E-3</v>
      </c>
      <c r="J229" s="44">
        <v>579.83000000000004</v>
      </c>
      <c r="K229" s="44">
        <v>583.45000000000005</v>
      </c>
      <c r="L229" s="44">
        <v>573.29499999999996</v>
      </c>
      <c r="M229" s="44">
        <v>576</v>
      </c>
      <c r="N229" s="44">
        <v>1448497</v>
      </c>
      <c r="O229" s="44" t="s">
        <v>1562</v>
      </c>
      <c r="P229" s="25">
        <f t="shared" si="1"/>
        <v>6.6493055555556513E-3</v>
      </c>
      <c r="R229" s="51">
        <v>-4.4999999999999998E-2</v>
      </c>
      <c r="S229">
        <v>1</v>
      </c>
      <c r="U229" s="50">
        <f t="shared" si="3"/>
        <v>-4.5999999999999999E-2</v>
      </c>
      <c r="V229" s="54">
        <f t="shared" si="2"/>
        <v>0.5771577686158027</v>
      </c>
      <c r="Y229" s="46">
        <f>($T$214*-1)+$T$212</f>
        <v>-1.6722161625818816E-2</v>
      </c>
      <c r="Z229" s="1">
        <v>14</v>
      </c>
    </row>
    <row r="230" spans="2:26" ht="15">
      <c r="B230" s="44">
        <v>627.55999999999995</v>
      </c>
      <c r="C230" s="44">
        <v>628.13</v>
      </c>
      <c r="D230" s="44">
        <v>623.86</v>
      </c>
      <c r="E230" s="44">
        <v>623.98</v>
      </c>
      <c r="F230" s="44">
        <v>10447326</v>
      </c>
      <c r="G230" s="44" t="s">
        <v>1563</v>
      </c>
      <c r="H230" s="25">
        <f t="shared" si="0"/>
        <v>5.7373633770312349E-3</v>
      </c>
      <c r="J230" s="44">
        <v>572.47</v>
      </c>
      <c r="K230" s="44">
        <v>574.57000000000005</v>
      </c>
      <c r="L230" s="44">
        <v>561.30999999999995</v>
      </c>
      <c r="M230" s="44">
        <v>561.63</v>
      </c>
      <c r="N230" s="44">
        <v>4024629</v>
      </c>
      <c r="O230" s="44" t="s">
        <v>1563</v>
      </c>
      <c r="P230" s="25">
        <f t="shared" si="1"/>
        <v>1.9300963267631754E-2</v>
      </c>
      <c r="R230" s="51">
        <v>-4.3999999999999997E-2</v>
      </c>
      <c r="S230">
        <v>0</v>
      </c>
      <c r="U230" s="50">
        <f t="shared" si="3"/>
        <v>-4.4999999999999998E-2</v>
      </c>
      <c r="V230" s="54">
        <f t="shared" si="2"/>
        <v>0.67621801553040695</v>
      </c>
      <c r="X230" s="1" t="s">
        <v>151</v>
      </c>
      <c r="Y230" s="46">
        <f>($T$214*1)+$T$212</f>
        <v>1.7277963694079423E-2</v>
      </c>
      <c r="Z230" s="1">
        <v>0</v>
      </c>
    </row>
    <row r="231" spans="2:26" ht="15">
      <c r="B231" s="44">
        <v>622.01</v>
      </c>
      <c r="C231" s="44">
        <v>625.94000000000005</v>
      </c>
      <c r="D231" s="44">
        <v>620.57000000000005</v>
      </c>
      <c r="E231" s="44">
        <v>623.04999999999995</v>
      </c>
      <c r="F231" s="44">
        <v>33420938</v>
      </c>
      <c r="G231" s="44" t="s">
        <v>1564</v>
      </c>
      <c r="H231" s="25">
        <f t="shared" si="0"/>
        <v>-1.6692079287375927E-3</v>
      </c>
      <c r="J231" s="44">
        <v>561.89</v>
      </c>
      <c r="K231" s="44">
        <v>566.85</v>
      </c>
      <c r="L231" s="44">
        <v>557.255</v>
      </c>
      <c r="M231" s="44">
        <v>557.29</v>
      </c>
      <c r="N231" s="44">
        <v>1518323</v>
      </c>
      <c r="O231" s="44" t="s">
        <v>1564</v>
      </c>
      <c r="P231" s="25">
        <f t="shared" si="1"/>
        <v>8.2542302930252998E-3</v>
      </c>
      <c r="R231" s="51">
        <v>-4.2999999999999997E-2</v>
      </c>
      <c r="S231">
        <v>1</v>
      </c>
      <c r="U231" s="50">
        <f t="shared" si="3"/>
        <v>-4.3999999999999997E-2</v>
      </c>
      <c r="V231" s="54">
        <f t="shared" si="2"/>
        <v>0.78954373191755345</v>
      </c>
      <c r="Y231" s="46">
        <f>($T$214*1)+$T$212</f>
        <v>1.7277963694079423E-2</v>
      </c>
      <c r="Z231" s="1">
        <v>14</v>
      </c>
    </row>
    <row r="232" spans="2:26" ht="15">
      <c r="B232" s="44">
        <v>617.35</v>
      </c>
      <c r="C232" s="44">
        <v>625.64</v>
      </c>
      <c r="D232" s="44">
        <v>617.15899999999999</v>
      </c>
      <c r="E232" s="44">
        <v>625.19000000000005</v>
      </c>
      <c r="F232" s="44">
        <v>20953077</v>
      </c>
      <c r="G232" s="44" t="s">
        <v>1565</v>
      </c>
      <c r="H232" s="25">
        <f t="shared" si="0"/>
        <v>-1.2540187782913992E-2</v>
      </c>
      <c r="J232" s="44">
        <v>556.86</v>
      </c>
      <c r="K232" s="44">
        <v>561.45500000000004</v>
      </c>
      <c r="L232" s="44">
        <v>554</v>
      </c>
      <c r="M232" s="44">
        <v>554.67999999999995</v>
      </c>
      <c r="N232" s="44">
        <v>1655421</v>
      </c>
      <c r="O232" s="44" t="s">
        <v>1565</v>
      </c>
      <c r="P232" s="25">
        <f t="shared" si="1"/>
        <v>3.9301939857216972E-3</v>
      </c>
      <c r="R232" s="51">
        <v>-4.1999999999999996E-2</v>
      </c>
      <c r="S232">
        <v>1</v>
      </c>
      <c r="U232" s="50">
        <f t="shared" si="3"/>
        <v>-4.2999999999999997E-2</v>
      </c>
      <c r="V232" s="54">
        <f t="shared" si="2"/>
        <v>0.9186771306659407</v>
      </c>
      <c r="X232" s="41" t="s">
        <v>152</v>
      </c>
      <c r="Y232" s="46">
        <f>($T$214*2)+$T$212</f>
        <v>3.4278026354028539E-2</v>
      </c>
      <c r="Z232" s="1">
        <v>0</v>
      </c>
    </row>
    <row r="233" spans="2:26" ht="15">
      <c r="B233" s="44">
        <v>624.21</v>
      </c>
      <c r="C233" s="44">
        <v>626.22</v>
      </c>
      <c r="D233" s="44">
        <v>620.65</v>
      </c>
      <c r="E233" s="44">
        <v>624.54999999999995</v>
      </c>
      <c r="F233" s="44">
        <v>13922431</v>
      </c>
      <c r="G233" s="44" t="s">
        <v>1566</v>
      </c>
      <c r="H233" s="25">
        <f t="shared" si="0"/>
        <v>-5.4439196221267583E-4</v>
      </c>
      <c r="J233" s="44">
        <v>554.58000000000004</v>
      </c>
      <c r="K233" s="44">
        <v>559.69000000000005</v>
      </c>
      <c r="L233" s="44">
        <v>546.13009999999997</v>
      </c>
      <c r="M233" s="44">
        <v>559.04999999999995</v>
      </c>
      <c r="N233" s="44">
        <v>1921893</v>
      </c>
      <c r="O233" s="44" t="s">
        <v>1566</v>
      </c>
      <c r="P233" s="25">
        <f t="shared" si="1"/>
        <v>-7.9957070029512689E-3</v>
      </c>
      <c r="R233" s="51">
        <v>-4.0999999999999995E-2</v>
      </c>
      <c r="S233">
        <v>0</v>
      </c>
      <c r="U233" s="50">
        <f t="shared" si="3"/>
        <v>-4.1999999999999996E-2</v>
      </c>
      <c r="V233" s="54">
        <f t="shared" si="2"/>
        <v>1.0652385689478403</v>
      </c>
      <c r="Y233" s="46">
        <f>($T$214*2)+$T$212</f>
        <v>3.4278026354028539E-2</v>
      </c>
      <c r="Z233" s="1">
        <v>4</v>
      </c>
    </row>
    <row r="234" spans="2:26" ht="15">
      <c r="B234" s="44">
        <v>625.96</v>
      </c>
      <c r="C234" s="44">
        <v>630.55999999999995</v>
      </c>
      <c r="D234" s="44">
        <v>624.57000000000005</v>
      </c>
      <c r="E234" s="44">
        <v>630.55999999999995</v>
      </c>
      <c r="F234" s="44">
        <v>11306924</v>
      </c>
      <c r="G234" s="44" t="s">
        <v>1567</v>
      </c>
      <c r="H234" s="25">
        <f t="shared" si="0"/>
        <v>-7.2951027657953693E-3</v>
      </c>
      <c r="J234" s="44">
        <v>559.52</v>
      </c>
      <c r="K234" s="44">
        <v>561.62</v>
      </c>
      <c r="L234" s="44">
        <v>546.04999999999995</v>
      </c>
      <c r="M234" s="44">
        <v>546.04999999999995</v>
      </c>
      <c r="N234" s="44">
        <v>2920859</v>
      </c>
      <c r="O234" s="44" t="s">
        <v>1567</v>
      </c>
      <c r="P234" s="25">
        <f t="shared" si="1"/>
        <v>2.4668070689497279E-2</v>
      </c>
      <c r="R234" s="51">
        <v>-0.04</v>
      </c>
      <c r="S234">
        <v>2</v>
      </c>
      <c r="U234" s="50">
        <f t="shared" si="3"/>
        <v>-4.0999999999999995E-2</v>
      </c>
      <c r="V234" s="54">
        <f t="shared" si="2"/>
        <v>1.2309151633985118</v>
      </c>
      <c r="X234" s="41" t="s">
        <v>153</v>
      </c>
      <c r="Y234" s="46">
        <f>($T$214*3)+$T$212</f>
        <v>5.1278089013977658E-2</v>
      </c>
      <c r="Z234" s="1">
        <v>0</v>
      </c>
    </row>
    <row r="235" spans="2:26" ht="15">
      <c r="B235" s="44">
        <v>626.87</v>
      </c>
      <c r="C235" s="44">
        <v>633.42999999999995</v>
      </c>
      <c r="D235" s="44">
        <v>624.48</v>
      </c>
      <c r="E235" s="44">
        <v>632.79999999999995</v>
      </c>
      <c r="F235" s="44">
        <v>8504783</v>
      </c>
      <c r="G235" s="44" t="s">
        <v>1568</v>
      </c>
      <c r="H235" s="25">
        <f t="shared" si="0"/>
        <v>-9.3710493046775811E-3</v>
      </c>
      <c r="J235" s="44">
        <v>542.32000000000005</v>
      </c>
      <c r="K235" s="44">
        <v>548.99</v>
      </c>
      <c r="L235" s="44">
        <v>537.69000000000005</v>
      </c>
      <c r="M235" s="44">
        <v>546</v>
      </c>
      <c r="N235" s="44">
        <v>2080655</v>
      </c>
      <c r="O235" s="44" t="s">
        <v>1568</v>
      </c>
      <c r="P235" s="25">
        <f t="shared" si="1"/>
        <v>-6.7399267399266272E-3</v>
      </c>
      <c r="R235" s="51">
        <v>-3.9E-2</v>
      </c>
      <c r="S235">
        <v>1</v>
      </c>
      <c r="U235" s="50">
        <v>-0.04</v>
      </c>
      <c r="V235" s="54">
        <f t="shared" si="2"/>
        <v>1.4174463271231565</v>
      </c>
      <c r="X235" s="41"/>
      <c r="Y235" s="46">
        <f>($T$214*3)+$T$212</f>
        <v>5.1278089013977658E-2</v>
      </c>
      <c r="Z235" s="1">
        <v>2</v>
      </c>
    </row>
    <row r="236" spans="2:26" ht="15">
      <c r="B236" s="44">
        <v>633.71</v>
      </c>
      <c r="C236" s="44">
        <v>633.87</v>
      </c>
      <c r="D236" s="44">
        <v>627.27</v>
      </c>
      <c r="E236" s="44">
        <v>630</v>
      </c>
      <c r="F236" s="44">
        <v>22128232</v>
      </c>
      <c r="G236" s="44" t="s">
        <v>1569</v>
      </c>
      <c r="H236" s="25">
        <f t="shared" si="0"/>
        <v>5.8888888888890545E-3</v>
      </c>
      <c r="J236" s="44">
        <v>547.36</v>
      </c>
      <c r="K236" s="44">
        <v>553.39</v>
      </c>
      <c r="L236" s="44">
        <v>542.71</v>
      </c>
      <c r="M236" s="44">
        <v>545.46500000000003</v>
      </c>
      <c r="N236" s="44">
        <v>1513651</v>
      </c>
      <c r="O236" s="44" t="s">
        <v>1569</v>
      </c>
      <c r="P236" s="25">
        <f t="shared" si="1"/>
        <v>3.4741000797484656E-3</v>
      </c>
      <c r="R236" s="51">
        <v>-3.7999999999999999E-2</v>
      </c>
      <c r="S236">
        <v>1</v>
      </c>
      <c r="U236" s="50">
        <f t="shared" ref="U236:U299" si="4">U235+0.001</f>
        <v>-3.9E-2</v>
      </c>
      <c r="V236" s="54">
        <f t="shared" si="2"/>
        <v>1.6266060607441453</v>
      </c>
      <c r="Y236" s="46"/>
    </row>
    <row r="237" spans="2:26" ht="15">
      <c r="B237" s="44">
        <v>632.16</v>
      </c>
      <c r="C237" s="44">
        <v>633.505</v>
      </c>
      <c r="D237" s="44">
        <v>626.47</v>
      </c>
      <c r="E237" s="44">
        <v>627.63</v>
      </c>
      <c r="F237" s="44">
        <v>22399235</v>
      </c>
      <c r="G237" s="44" t="s">
        <v>1570</v>
      </c>
      <c r="H237" s="25">
        <f t="shared" si="0"/>
        <v>7.2176282204483577E-3</v>
      </c>
      <c r="J237" s="44">
        <v>555.91999999999996</v>
      </c>
      <c r="K237" s="44">
        <v>560.04999999999995</v>
      </c>
      <c r="L237" s="44">
        <v>546.54999999999995</v>
      </c>
      <c r="M237" s="44">
        <v>557.76</v>
      </c>
      <c r="N237" s="44">
        <v>1538209</v>
      </c>
      <c r="O237" s="44" t="s">
        <v>1570</v>
      </c>
      <c r="P237" s="25">
        <f t="shared" si="1"/>
        <v>-3.2989099254160381E-3</v>
      </c>
      <c r="R237" s="51">
        <v>-3.6999999999999998E-2</v>
      </c>
      <c r="S237">
        <v>4</v>
      </c>
      <c r="U237" s="50">
        <f t="shared" si="4"/>
        <v>-3.7999999999999999E-2</v>
      </c>
      <c r="V237" s="54">
        <f t="shared" si="2"/>
        <v>1.8601818876122451</v>
      </c>
    </row>
    <row r="238" spans="2:26" ht="15">
      <c r="B238" s="44">
        <v>628.1</v>
      </c>
      <c r="C238" s="44">
        <v>630.21</v>
      </c>
      <c r="D238" s="44">
        <v>627.66</v>
      </c>
      <c r="E238" s="44">
        <v>628.17999999999995</v>
      </c>
      <c r="F238" s="44">
        <v>9617841</v>
      </c>
      <c r="G238" s="44" t="s">
        <v>1571</v>
      </c>
      <c r="H238" s="25">
        <f t="shared" si="0"/>
        <v>-1.2735203285674235E-4</v>
      </c>
      <c r="J238" s="44">
        <v>558.13</v>
      </c>
      <c r="K238" s="44">
        <v>569</v>
      </c>
      <c r="L238" s="44">
        <v>557.5</v>
      </c>
      <c r="M238" s="44">
        <v>566.5</v>
      </c>
      <c r="N238" s="44">
        <v>1211718</v>
      </c>
      <c r="O238" s="44" t="s">
        <v>1571</v>
      </c>
      <c r="P238" s="25">
        <f t="shared" si="1"/>
        <v>-1.4774933804060031E-2</v>
      </c>
      <c r="R238" s="51">
        <v>-3.5999999999999997E-2</v>
      </c>
      <c r="S238">
        <v>6</v>
      </c>
      <c r="U238" s="50">
        <f t="shared" si="4"/>
        <v>-3.6999999999999998E-2</v>
      </c>
      <c r="V238" s="54">
        <f t="shared" si="2"/>
        <v>2.119950393457056</v>
      </c>
    </row>
    <row r="239" spans="2:26" ht="15">
      <c r="B239" s="44">
        <v>628.61</v>
      </c>
      <c r="C239" s="44">
        <v>631.47</v>
      </c>
      <c r="D239" s="44">
        <v>626.70100000000002</v>
      </c>
      <c r="E239" s="44">
        <v>631.36</v>
      </c>
      <c r="F239" s="44">
        <v>6833888</v>
      </c>
      <c r="G239" s="44" t="s">
        <v>1572</v>
      </c>
      <c r="H239" s="25">
        <f t="shared" si="0"/>
        <v>-4.3556766345665965E-3</v>
      </c>
      <c r="J239" s="44">
        <v>566.89</v>
      </c>
      <c r="K239" s="44">
        <v>576.15</v>
      </c>
      <c r="L239" s="44">
        <v>562.66999999999996</v>
      </c>
      <c r="M239" s="44">
        <v>576.15</v>
      </c>
      <c r="N239" s="44">
        <v>1294221</v>
      </c>
      <c r="O239" s="44" t="s">
        <v>1572</v>
      </c>
      <c r="P239" s="25">
        <f t="shared" si="1"/>
        <v>-1.6072203419248421E-2</v>
      </c>
      <c r="R239" s="51">
        <v>-3.4999999999999996E-2</v>
      </c>
      <c r="S239">
        <v>0</v>
      </c>
      <c r="U239" s="50">
        <f t="shared" si="4"/>
        <v>-3.5999999999999997E-2</v>
      </c>
      <c r="V239" s="54">
        <f t="shared" si="2"/>
        <v>2.4076494126827206</v>
      </c>
    </row>
    <row r="240" spans="2:26" ht="15">
      <c r="B240" s="44">
        <v>630.48</v>
      </c>
      <c r="C240" s="44">
        <v>632.98</v>
      </c>
      <c r="D240" s="44">
        <v>629.48</v>
      </c>
      <c r="E240" s="44">
        <v>630.29999999999995</v>
      </c>
      <c r="F240" s="44">
        <v>5007553</v>
      </c>
      <c r="G240" s="44" t="s">
        <v>1573</v>
      </c>
      <c r="H240" s="25">
        <f t="shared" si="0"/>
        <v>2.8557829604958229E-4</v>
      </c>
      <c r="J240" s="44">
        <v>575.34</v>
      </c>
      <c r="K240" s="44">
        <v>576.88</v>
      </c>
      <c r="L240" s="44">
        <v>569.42999999999995</v>
      </c>
      <c r="M240" s="44">
        <v>569.5</v>
      </c>
      <c r="N240" s="44">
        <v>1060838</v>
      </c>
      <c r="O240" s="44" t="s">
        <v>1573</v>
      </c>
      <c r="P240" s="25">
        <f t="shared" si="1"/>
        <v>1.025460930640909E-2</v>
      </c>
      <c r="R240" s="51">
        <v>-3.3999999999999996E-2</v>
      </c>
      <c r="S240">
        <v>1</v>
      </c>
      <c r="U240" s="50">
        <f t="shared" si="4"/>
        <v>-3.4999999999999996E-2</v>
      </c>
      <c r="V240" s="54">
        <f t="shared" si="2"/>
        <v>2.7249469962596682</v>
      </c>
    </row>
    <row r="241" spans="2:22" ht="15">
      <c r="B241" s="44">
        <v>629.29999999999995</v>
      </c>
      <c r="C241" s="44">
        <v>630.17999999999995</v>
      </c>
      <c r="D241" s="44">
        <v>626.48</v>
      </c>
      <c r="E241" s="44">
        <v>630.13</v>
      </c>
      <c r="F241" s="44">
        <v>5114434</v>
      </c>
      <c r="G241" s="44" t="s">
        <v>1574</v>
      </c>
      <c r="H241" s="25">
        <f t="shared" si="0"/>
        <v>-1.3171885166554098E-3</v>
      </c>
      <c r="J241" s="44">
        <v>568.63</v>
      </c>
      <c r="K241" s="44">
        <v>574.23</v>
      </c>
      <c r="L241" s="44">
        <v>564.72</v>
      </c>
      <c r="M241" s="44">
        <v>571.98</v>
      </c>
      <c r="N241" s="44">
        <v>1147346</v>
      </c>
      <c r="O241" s="44" t="s">
        <v>1574</v>
      </c>
      <c r="P241" s="25">
        <f t="shared" si="1"/>
        <v>-5.8568481415434137E-3</v>
      </c>
      <c r="R241" s="51">
        <v>-3.2999999999999995E-2</v>
      </c>
      <c r="S241">
        <v>2</v>
      </c>
      <c r="U241" s="50">
        <f t="shared" si="4"/>
        <v>-3.3999999999999996E-2</v>
      </c>
      <c r="V241" s="54">
        <f t="shared" si="2"/>
        <v>3.0734073982151404</v>
      </c>
    </row>
    <row r="242" spans="2:22" ht="15">
      <c r="B242" s="44">
        <v>628.77</v>
      </c>
      <c r="C242" s="44">
        <v>629.78</v>
      </c>
      <c r="D242" s="44">
        <v>624.95000000000005</v>
      </c>
      <c r="E242" s="44">
        <v>625.77</v>
      </c>
      <c r="F242" s="44">
        <v>5149531</v>
      </c>
      <c r="G242" s="44" t="s">
        <v>1575</v>
      </c>
      <c r="H242" s="25">
        <f t="shared" si="0"/>
        <v>4.7940936765904496E-3</v>
      </c>
      <c r="J242" s="44">
        <v>569.71</v>
      </c>
      <c r="K242" s="44">
        <v>571.77</v>
      </c>
      <c r="L242" s="44">
        <v>563.04</v>
      </c>
      <c r="M242" s="44">
        <v>569.48</v>
      </c>
      <c r="N242" s="44">
        <v>1088535</v>
      </c>
      <c r="O242" s="44" t="s">
        <v>1575</v>
      </c>
      <c r="P242" s="25">
        <f t="shared" si="1"/>
        <v>4.0387722132484427E-4</v>
      </c>
      <c r="R242" s="51">
        <v>-3.1999999999999994E-2</v>
      </c>
      <c r="S242">
        <v>3</v>
      </c>
      <c r="U242" s="50">
        <f t="shared" si="4"/>
        <v>-3.2999999999999995E-2</v>
      </c>
      <c r="V242" s="54">
        <f t="shared" si="2"/>
        <v>3.4544544270201611</v>
      </c>
    </row>
    <row r="243" spans="2:22" ht="15">
      <c r="B243" s="44">
        <v>626.58000000000004</v>
      </c>
      <c r="C243" s="44">
        <v>628.77</v>
      </c>
      <c r="D243" s="44">
        <v>624.62</v>
      </c>
      <c r="E243" s="44">
        <v>627.01</v>
      </c>
      <c r="F243" s="44">
        <v>5256797</v>
      </c>
      <c r="G243" s="44" t="s">
        <v>1576</v>
      </c>
      <c r="H243" s="25">
        <f t="shared" si="0"/>
        <v>-6.8579448493633066E-4</v>
      </c>
      <c r="J243" s="44">
        <v>567.72</v>
      </c>
      <c r="K243" s="44">
        <v>570.75</v>
      </c>
      <c r="L243" s="44">
        <v>561.39</v>
      </c>
      <c r="M243" s="44">
        <v>568.6</v>
      </c>
      <c r="N243" s="44">
        <v>1745598</v>
      </c>
      <c r="O243" s="44" t="s">
        <v>1576</v>
      </c>
      <c r="P243" s="25">
        <f t="shared" si="1"/>
        <v>-1.5476609215617776E-3</v>
      </c>
      <c r="R243" s="51">
        <v>-3.0999999999999993E-2</v>
      </c>
      <c r="S243">
        <v>7</v>
      </c>
      <c r="U243" s="50">
        <f t="shared" si="4"/>
        <v>-3.1999999999999994E-2</v>
      </c>
      <c r="V243" s="54">
        <f t="shared" si="2"/>
        <v>3.8693326220902478</v>
      </c>
    </row>
    <row r="244" spans="2:22" ht="15">
      <c r="B244" s="44">
        <v>625.52</v>
      </c>
      <c r="C244" s="44">
        <v>628.01</v>
      </c>
      <c r="D244" s="44">
        <v>624.1</v>
      </c>
      <c r="E244" s="44">
        <v>624.16999999999996</v>
      </c>
      <c r="F244" s="44">
        <v>8381362</v>
      </c>
      <c r="G244" s="44" t="s">
        <v>1577</v>
      </c>
      <c r="H244" s="25">
        <f t="shared" si="0"/>
        <v>2.1628722944069256E-3</v>
      </c>
      <c r="J244" s="44">
        <v>567.37</v>
      </c>
      <c r="K244" s="44">
        <v>573.53499999999997</v>
      </c>
      <c r="L244" s="44">
        <v>566.63</v>
      </c>
      <c r="M244" s="44">
        <v>568.99</v>
      </c>
      <c r="N244" s="44">
        <v>1083759</v>
      </c>
      <c r="O244" s="44" t="s">
        <v>1577</v>
      </c>
      <c r="P244" s="25">
        <f t="shared" si="1"/>
        <v>-2.8471502135363203E-3</v>
      </c>
      <c r="R244" s="51">
        <v>-2.9999999999999992E-2</v>
      </c>
      <c r="S244">
        <v>3</v>
      </c>
      <c r="U244" s="50">
        <f t="shared" si="4"/>
        <v>-3.0999999999999993E-2</v>
      </c>
      <c r="V244" s="54">
        <f t="shared" si="2"/>
        <v>4.3190668310197449</v>
      </c>
    </row>
    <row r="245" spans="2:22" ht="15">
      <c r="B245" s="44">
        <v>628.41</v>
      </c>
      <c r="C245" s="44">
        <v>628.63</v>
      </c>
      <c r="D245" s="44">
        <v>625.70500000000004</v>
      </c>
      <c r="E245" s="44">
        <v>626.02499999999998</v>
      </c>
      <c r="F245" s="44">
        <v>2949167</v>
      </c>
      <c r="G245" s="44" t="s">
        <v>1578</v>
      </c>
      <c r="H245" s="25">
        <f t="shared" si="0"/>
        <v>3.8097520067090773E-3</v>
      </c>
      <c r="J245" s="44">
        <v>573.48</v>
      </c>
      <c r="K245" s="44">
        <v>574</v>
      </c>
      <c r="L245" s="44">
        <v>568.27369999999996</v>
      </c>
      <c r="M245" s="44">
        <v>571.41</v>
      </c>
      <c r="N245" s="44">
        <v>1003909</v>
      </c>
      <c r="O245" s="44" t="s">
        <v>1578</v>
      </c>
      <c r="P245" s="25">
        <f t="shared" si="1"/>
        <v>3.6226177350764388E-3</v>
      </c>
      <c r="R245" s="51">
        <v>-2.8999999999999991E-2</v>
      </c>
      <c r="S245">
        <v>6</v>
      </c>
      <c r="U245" s="50">
        <f t="shared" si="4"/>
        <v>-2.9999999999999992E-2</v>
      </c>
      <c r="V245" s="54">
        <f t="shared" si="2"/>
        <v>4.8044208764463354</v>
      </c>
    </row>
    <row r="246" spans="2:22" ht="15">
      <c r="B246" s="44">
        <v>624.95000000000005</v>
      </c>
      <c r="C246" s="44">
        <v>626.80999999999995</v>
      </c>
      <c r="D246" s="44">
        <v>622.26</v>
      </c>
      <c r="E246" s="44">
        <v>623.05999999999995</v>
      </c>
      <c r="F246" s="44">
        <v>5292533</v>
      </c>
      <c r="G246" s="44" t="s">
        <v>1579</v>
      </c>
      <c r="H246" s="25">
        <f t="shared" si="0"/>
        <v>3.033415722402566E-3</v>
      </c>
      <c r="J246" s="44">
        <v>574.23</v>
      </c>
      <c r="K246" s="44">
        <v>582.41470000000004</v>
      </c>
      <c r="L246" s="44">
        <v>573.75</v>
      </c>
      <c r="M246" s="44">
        <v>579.85</v>
      </c>
      <c r="N246" s="44">
        <v>1158423</v>
      </c>
      <c r="O246" s="44" t="s">
        <v>1579</v>
      </c>
      <c r="P246" s="25">
        <f t="shared" si="1"/>
        <v>-9.6921617659739834E-3</v>
      </c>
      <c r="R246" s="51">
        <v>-2.799999999999999E-2</v>
      </c>
      <c r="S246">
        <v>9</v>
      </c>
      <c r="U246" s="50">
        <f t="shared" si="4"/>
        <v>-2.8999999999999991E-2</v>
      </c>
      <c r="V246" s="54">
        <f t="shared" si="2"/>
        <v>5.3258561086016565</v>
      </c>
    </row>
    <row r="247" spans="2:22" ht="15">
      <c r="B247" s="44">
        <v>620.66</v>
      </c>
      <c r="C247" s="44">
        <v>621.75</v>
      </c>
      <c r="D247" s="44">
        <v>610.99</v>
      </c>
      <c r="E247" s="44">
        <v>614.78</v>
      </c>
      <c r="F247" s="44">
        <v>7289905</v>
      </c>
      <c r="G247" s="44" t="s">
        <v>1580</v>
      </c>
      <c r="H247" s="25">
        <f t="shared" si="0"/>
        <v>9.5643970200722794E-3</v>
      </c>
      <c r="J247" s="44">
        <v>578.87</v>
      </c>
      <c r="K247" s="44">
        <v>580</v>
      </c>
      <c r="L247" s="44">
        <v>561.29</v>
      </c>
      <c r="M247" s="44">
        <v>564.44000000000005</v>
      </c>
      <c r="N247" s="44">
        <v>1679921</v>
      </c>
      <c r="O247" s="44" t="s">
        <v>1580</v>
      </c>
      <c r="P247" s="25">
        <f t="shared" si="1"/>
        <v>2.5565161930408919E-2</v>
      </c>
      <c r="R247" s="51">
        <v>-2.6999999999999989E-2</v>
      </c>
      <c r="S247">
        <v>5</v>
      </c>
      <c r="U247" s="50">
        <f t="shared" si="4"/>
        <v>-2.799999999999999E-2</v>
      </c>
      <c r="V247" s="54">
        <f t="shared" si="2"/>
        <v>5.8834907363844975</v>
      </c>
    </row>
    <row r="248" spans="2:22" ht="15">
      <c r="B248" s="44">
        <v>614.94000000000005</v>
      </c>
      <c r="C248" s="44">
        <v>616.09</v>
      </c>
      <c r="D248" s="44">
        <v>608.30499999999995</v>
      </c>
      <c r="E248" s="44">
        <v>609.28</v>
      </c>
      <c r="F248" s="44">
        <v>6218559</v>
      </c>
      <c r="G248" s="44" t="s">
        <v>1581</v>
      </c>
      <c r="H248" s="25">
        <f t="shared" si="0"/>
        <v>9.2896533613446852E-3</v>
      </c>
      <c r="J248" s="44">
        <v>568.48</v>
      </c>
      <c r="K248" s="44">
        <v>570.77</v>
      </c>
      <c r="L248" s="44">
        <v>560</v>
      </c>
      <c r="M248" s="44">
        <v>562.92999999999995</v>
      </c>
      <c r="N248" s="44">
        <v>2349453</v>
      </c>
      <c r="O248" s="44" t="s">
        <v>1581</v>
      </c>
      <c r="P248" s="25">
        <f t="shared" si="1"/>
        <v>9.8591299095802665E-3</v>
      </c>
      <c r="R248" s="51">
        <v>-2.5999999999999988E-2</v>
      </c>
      <c r="S248">
        <v>8</v>
      </c>
      <c r="U248" s="50">
        <f t="shared" si="4"/>
        <v>-2.6999999999999989E-2</v>
      </c>
      <c r="V248" s="54">
        <f t="shared" si="2"/>
        <v>6.4770609118010292</v>
      </c>
    </row>
    <row r="249" spans="2:22" ht="15">
      <c r="B249" s="44">
        <v>605.92999999999995</v>
      </c>
      <c r="C249" s="44">
        <v>611.01</v>
      </c>
      <c r="D249" s="44">
        <v>598.38</v>
      </c>
      <c r="E249" s="44">
        <v>602.25</v>
      </c>
      <c r="F249" s="44">
        <v>9789866</v>
      </c>
      <c r="G249" s="44" t="s">
        <v>1582</v>
      </c>
      <c r="H249" s="25">
        <f t="shared" si="0"/>
        <v>6.1104192611041164E-3</v>
      </c>
      <c r="J249" s="44">
        <v>561.61</v>
      </c>
      <c r="K249" s="44">
        <v>564</v>
      </c>
      <c r="L249" s="44">
        <v>548.04200000000003</v>
      </c>
      <c r="M249" s="44">
        <v>551.16499999999996</v>
      </c>
      <c r="N249" s="44">
        <v>2589465</v>
      </c>
      <c r="O249" s="44" t="s">
        <v>1582</v>
      </c>
      <c r="P249" s="25">
        <f t="shared" si="1"/>
        <v>1.8950767918862965E-2</v>
      </c>
      <c r="R249" s="51">
        <v>-2.4999999999999988E-2</v>
      </c>
      <c r="S249">
        <v>8</v>
      </c>
      <c r="U249" s="50">
        <f t="shared" si="4"/>
        <v>-2.5999999999999988E-2</v>
      </c>
      <c r="V249" s="54">
        <f t="shared" si="2"/>
        <v>7.1058846054858718</v>
      </c>
    </row>
    <row r="250" spans="2:22" ht="15">
      <c r="B250" s="44">
        <v>599.96</v>
      </c>
      <c r="C250" s="44">
        <v>621.12879999999996</v>
      </c>
      <c r="D250" s="44">
        <v>599.36</v>
      </c>
      <c r="E250" s="44">
        <v>618.72</v>
      </c>
      <c r="F250" s="44">
        <v>13857655</v>
      </c>
      <c r="G250" s="44" t="s">
        <v>1583</v>
      </c>
      <c r="H250" s="25">
        <f t="shared" si="0"/>
        <v>-3.0320662011895538E-2</v>
      </c>
      <c r="J250" s="44">
        <v>552.23</v>
      </c>
      <c r="K250" s="44">
        <v>574.45000000000005</v>
      </c>
      <c r="L250" s="44">
        <v>550</v>
      </c>
      <c r="M250" s="44">
        <v>566.91999999999996</v>
      </c>
      <c r="N250" s="44">
        <v>1862883</v>
      </c>
      <c r="O250" s="44" t="s">
        <v>1583</v>
      </c>
      <c r="P250" s="25">
        <f t="shared" si="1"/>
        <v>-2.5911945248006663E-2</v>
      </c>
      <c r="R250" s="51">
        <v>-2.3999999999999987E-2</v>
      </c>
      <c r="S250">
        <v>9</v>
      </c>
      <c r="U250" s="50">
        <f t="shared" si="4"/>
        <v>-2.4999999999999988E-2</v>
      </c>
      <c r="V250" s="54">
        <f t="shared" si="2"/>
        <v>7.768829350587807</v>
      </c>
    </row>
    <row r="251" spans="2:22" ht="15">
      <c r="B251" s="44">
        <v>609.20000000000005</v>
      </c>
      <c r="C251" s="44">
        <v>613.56989999999996</v>
      </c>
      <c r="D251" s="44">
        <v>605.66999999999996</v>
      </c>
      <c r="E251" s="44">
        <v>607.52</v>
      </c>
      <c r="F251" s="44">
        <v>7297298</v>
      </c>
      <c r="G251" s="44" t="s">
        <v>1584</v>
      </c>
      <c r="H251" s="25">
        <f t="shared" si="0"/>
        <v>2.7653410587307192E-3</v>
      </c>
      <c r="J251" s="44">
        <v>564.64</v>
      </c>
      <c r="K251" s="44">
        <v>566.86</v>
      </c>
      <c r="L251" s="44">
        <v>544.19000000000005</v>
      </c>
      <c r="M251" s="44">
        <v>544.92499999999995</v>
      </c>
      <c r="N251" s="44">
        <v>2434211</v>
      </c>
      <c r="O251" s="44" t="s">
        <v>1584</v>
      </c>
      <c r="P251" s="25">
        <f t="shared" si="1"/>
        <v>3.6179290728082014E-2</v>
      </c>
      <c r="R251" s="51">
        <v>-2.2999999999999986E-2</v>
      </c>
      <c r="S251">
        <v>2</v>
      </c>
      <c r="U251" s="50">
        <f t="shared" si="4"/>
        <v>-2.3999999999999987E-2</v>
      </c>
      <c r="V251" s="54">
        <f t="shared" si="2"/>
        <v>8.4642849448077602</v>
      </c>
    </row>
    <row r="252" spans="2:22" ht="15">
      <c r="B252" s="44">
        <v>607</v>
      </c>
      <c r="C252" s="44">
        <v>611.51</v>
      </c>
      <c r="D252" s="44">
        <v>603</v>
      </c>
      <c r="E252" s="44">
        <v>608.72</v>
      </c>
      <c r="F252" s="44">
        <v>8485565</v>
      </c>
      <c r="G252" s="44" t="s">
        <v>1585</v>
      </c>
      <c r="H252" s="25">
        <f t="shared" si="0"/>
        <v>-2.8256012616638682E-3</v>
      </c>
      <c r="J252" s="44">
        <v>546.77</v>
      </c>
      <c r="K252" s="44">
        <v>549.21</v>
      </c>
      <c r="L252" s="44">
        <v>538.83000000000004</v>
      </c>
      <c r="M252" s="44">
        <v>546.05499999999995</v>
      </c>
      <c r="N252" s="44">
        <v>2104666</v>
      </c>
      <c r="O252" s="44" t="s">
        <v>1585</v>
      </c>
      <c r="P252" s="25">
        <f t="shared" si="1"/>
        <v>1.3093919110713781E-3</v>
      </c>
      <c r="R252" s="51">
        <v>-2.1999999999999985E-2</v>
      </c>
      <c r="S252">
        <v>15</v>
      </c>
      <c r="U252" s="50">
        <f t="shared" si="4"/>
        <v>-2.2999999999999986E-2</v>
      </c>
      <c r="V252" s="54">
        <f t="shared" si="2"/>
        <v>9.1901421826328491</v>
      </c>
    </row>
    <row r="253" spans="2:22" ht="15">
      <c r="B253" s="44">
        <v>612.04</v>
      </c>
      <c r="C253" s="44">
        <v>619.44849999999997</v>
      </c>
      <c r="D253" s="44">
        <v>608.80999999999995</v>
      </c>
      <c r="E253" s="44">
        <v>615.74</v>
      </c>
      <c r="F253" s="44">
        <v>8858869</v>
      </c>
      <c r="G253" s="44" t="s">
        <v>1586</v>
      </c>
      <c r="H253" s="25">
        <f t="shared" si="0"/>
        <v>-6.0090297852990471E-3</v>
      </c>
      <c r="J253" s="44">
        <v>546.71</v>
      </c>
      <c r="K253" s="44">
        <v>554.35</v>
      </c>
      <c r="L253" s="44">
        <v>544.11</v>
      </c>
      <c r="M253" s="44">
        <v>546.57000000000005</v>
      </c>
      <c r="N253" s="44">
        <v>1456077</v>
      </c>
      <c r="O253" s="44" t="s">
        <v>1586</v>
      </c>
      <c r="P253" s="25">
        <f t="shared" si="1"/>
        <v>2.5614285452912888E-4</v>
      </c>
      <c r="R253" s="51">
        <v>-2.0999999999999984E-2</v>
      </c>
      <c r="S253">
        <v>10</v>
      </c>
      <c r="U253" s="50">
        <f t="shared" si="4"/>
        <v>-2.1999999999999985E-2</v>
      </c>
      <c r="V253" s="54">
        <f t="shared" si="2"/>
        <v>9.943778639409004</v>
      </c>
    </row>
    <row r="254" spans="2:22" ht="15">
      <c r="B254" s="44">
        <v>617.83000000000004</v>
      </c>
      <c r="C254" s="44">
        <v>621.21990000000005</v>
      </c>
      <c r="D254" s="44">
        <v>609.83000000000004</v>
      </c>
      <c r="E254" s="44">
        <v>611.75</v>
      </c>
      <c r="F254" s="44">
        <v>9651895</v>
      </c>
      <c r="G254" s="44" t="s">
        <v>1587</v>
      </c>
      <c r="H254" s="25">
        <f t="shared" si="0"/>
        <v>9.9387004495301579E-3</v>
      </c>
      <c r="J254" s="44">
        <v>549.51</v>
      </c>
      <c r="K254" s="44">
        <v>560.02</v>
      </c>
      <c r="L254" s="44">
        <v>548.91999999999996</v>
      </c>
      <c r="M254" s="44">
        <v>559.5</v>
      </c>
      <c r="N254" s="44">
        <v>1878335</v>
      </c>
      <c r="O254" s="44" t="s">
        <v>1587</v>
      </c>
      <c r="P254" s="25">
        <f t="shared" si="1"/>
        <v>-1.7855227882037528E-2</v>
      </c>
      <c r="R254" s="51">
        <v>-1.9999999999999983E-2</v>
      </c>
      <c r="S254">
        <v>10</v>
      </c>
      <c r="U254" s="50">
        <f t="shared" si="4"/>
        <v>-2.0999999999999984E-2</v>
      </c>
      <c r="V254" s="54">
        <f t="shared" ref="V254:V285" si="5">_xlfn.NORM.DIST(U254,$T$212,$T$214,FALSE)</f>
        <v>10.722052444369996</v>
      </c>
    </row>
    <row r="255" spans="2:22" ht="15">
      <c r="B255" s="44">
        <v>617.99</v>
      </c>
      <c r="C255" s="44">
        <v>626.02</v>
      </c>
      <c r="D255" s="44">
        <v>616.51</v>
      </c>
      <c r="E255" s="44">
        <v>625.66999999999996</v>
      </c>
      <c r="F255" s="44">
        <v>10526401</v>
      </c>
      <c r="G255" s="44" t="s">
        <v>1588</v>
      </c>
      <c r="H255" s="25">
        <f t="shared" si="0"/>
        <v>-1.2274841370051193E-2</v>
      </c>
      <c r="J255" s="44">
        <v>565.51</v>
      </c>
      <c r="K255" s="44">
        <v>573.32209999999998</v>
      </c>
      <c r="L255" s="44">
        <v>561</v>
      </c>
      <c r="M255" s="44">
        <v>566.86</v>
      </c>
      <c r="N255" s="44">
        <v>2066153</v>
      </c>
      <c r="O255" s="44" t="s">
        <v>1588</v>
      </c>
      <c r="P255" s="25">
        <f t="shared" si="1"/>
        <v>-2.3815404156229958E-3</v>
      </c>
      <c r="R255" s="51">
        <v>-1.8999999999999982E-2</v>
      </c>
      <c r="S255">
        <v>7</v>
      </c>
      <c r="U255" s="50">
        <f t="shared" si="4"/>
        <v>-1.9999999999999983E-2</v>
      </c>
      <c r="V255" s="54">
        <f t="shared" si="5"/>
        <v>11.521304860717182</v>
      </c>
    </row>
    <row r="256" spans="2:22" ht="15">
      <c r="B256" s="44">
        <v>628.22</v>
      </c>
      <c r="C256" s="44">
        <v>629.77</v>
      </c>
      <c r="D256" s="44">
        <v>626.1</v>
      </c>
      <c r="E256" s="44">
        <v>629.65</v>
      </c>
      <c r="F256" s="44">
        <v>6065826</v>
      </c>
      <c r="G256" s="44" t="s">
        <v>1589</v>
      </c>
      <c r="H256" s="25">
        <f t="shared" si="0"/>
        <v>-2.2711029937265703E-3</v>
      </c>
      <c r="J256" s="44">
        <v>572.45000000000005</v>
      </c>
      <c r="K256" s="44">
        <v>580.47</v>
      </c>
      <c r="L256" s="44">
        <v>569.71</v>
      </c>
      <c r="M256" s="44">
        <v>574.13</v>
      </c>
      <c r="N256" s="44">
        <v>1632952</v>
      </c>
      <c r="O256" s="44" t="s">
        <v>1589</v>
      </c>
      <c r="P256" s="25">
        <f t="shared" si="1"/>
        <v>-2.9261665476458809E-3</v>
      </c>
      <c r="R256" s="51">
        <v>-1.7999999999999981E-2</v>
      </c>
      <c r="S256">
        <v>12</v>
      </c>
      <c r="U256" s="50">
        <f t="shared" si="4"/>
        <v>-1.8999999999999982E-2</v>
      </c>
      <c r="V256" s="54">
        <f t="shared" si="5"/>
        <v>12.337372338152301</v>
      </c>
    </row>
    <row r="257" spans="2:22" ht="15">
      <c r="B257" s="44">
        <v>627.91</v>
      </c>
      <c r="C257" s="44">
        <v>628.49</v>
      </c>
      <c r="D257" s="44">
        <v>624.07000000000005</v>
      </c>
      <c r="E257" s="44">
        <v>625.16</v>
      </c>
      <c r="F257" s="44">
        <v>5610874</v>
      </c>
      <c r="G257" s="44" t="s">
        <v>1590</v>
      </c>
      <c r="H257" s="25">
        <f t="shared" si="0"/>
        <v>4.3988738882845269E-3</v>
      </c>
      <c r="J257" s="44">
        <v>572.16999999999996</v>
      </c>
      <c r="K257" s="44">
        <v>579.22</v>
      </c>
      <c r="L257" s="44">
        <v>570.5</v>
      </c>
      <c r="M257" s="44">
        <v>575.05999999999995</v>
      </c>
      <c r="N257" s="44">
        <v>1556370</v>
      </c>
      <c r="O257" s="44" t="s">
        <v>1590</v>
      </c>
      <c r="P257" s="25">
        <f t="shared" si="1"/>
        <v>-5.0255625499947554E-3</v>
      </c>
      <c r="R257" s="51">
        <v>-1.699999999999998E-2</v>
      </c>
      <c r="S257">
        <v>13</v>
      </c>
      <c r="U257" s="50">
        <f t="shared" si="4"/>
        <v>-1.7999999999999981E-2</v>
      </c>
      <c r="V257" s="54">
        <f t="shared" si="5"/>
        <v>13.165608519012743</v>
      </c>
    </row>
    <row r="258" spans="2:22" ht="15">
      <c r="B258" s="44">
        <v>626.47</v>
      </c>
      <c r="C258" s="44">
        <v>627.21</v>
      </c>
      <c r="D258" s="44">
        <v>620.66</v>
      </c>
      <c r="E258" s="44">
        <v>622.69000000000005</v>
      </c>
      <c r="F258" s="44">
        <v>8383792</v>
      </c>
      <c r="G258" s="44" t="s">
        <v>1591</v>
      </c>
      <c r="H258" s="25">
        <f t="shared" ref="H258:H321" si="6">B258/E258-1</f>
        <v>6.0704363326855582E-3</v>
      </c>
      <c r="J258" s="44">
        <v>576.20000000000005</v>
      </c>
      <c r="K258" s="44">
        <v>578.29999999999995</v>
      </c>
      <c r="L258" s="44">
        <v>560</v>
      </c>
      <c r="M258" s="44">
        <v>560</v>
      </c>
      <c r="N258" s="44">
        <v>3056125</v>
      </c>
      <c r="O258" s="44" t="s">
        <v>1591</v>
      </c>
      <c r="P258" s="25">
        <f t="shared" ref="P258:P321" si="7">J258/M258-1</f>
        <v>2.8928571428571415E-2</v>
      </c>
      <c r="R258" s="51">
        <v>-1.599999999999998E-2</v>
      </c>
      <c r="S258">
        <v>10</v>
      </c>
      <c r="U258" s="50">
        <f t="shared" si="4"/>
        <v>-1.699999999999998E-2</v>
      </c>
      <c r="V258" s="54">
        <f t="shared" si="5"/>
        <v>14.000916466754523</v>
      </c>
    </row>
    <row r="259" spans="2:22" ht="15">
      <c r="B259" s="44">
        <v>616.89</v>
      </c>
      <c r="C259" s="44">
        <v>617.02</v>
      </c>
      <c r="D259" s="44">
        <v>607.91999999999996</v>
      </c>
      <c r="E259" s="44">
        <v>614.09</v>
      </c>
      <c r="F259" s="44">
        <v>7527198</v>
      </c>
      <c r="G259" s="44" t="s">
        <v>1592</v>
      </c>
      <c r="H259" s="25">
        <f t="shared" si="6"/>
        <v>4.5595922421794999E-3</v>
      </c>
      <c r="J259" s="44">
        <v>560</v>
      </c>
      <c r="K259" s="44">
        <v>562.65</v>
      </c>
      <c r="L259" s="44">
        <v>541.74</v>
      </c>
      <c r="M259" s="44">
        <v>543.24</v>
      </c>
      <c r="N259" s="44">
        <v>2708640</v>
      </c>
      <c r="O259" s="44" t="s">
        <v>1592</v>
      </c>
      <c r="P259" s="25">
        <f t="shared" si="7"/>
        <v>3.0851925484132181E-2</v>
      </c>
      <c r="R259" s="51">
        <v>-1.4999999999999979E-2</v>
      </c>
      <c r="S259">
        <v>11</v>
      </c>
      <c r="U259" s="50">
        <f t="shared" si="4"/>
        <v>-1.599999999999998E-2</v>
      </c>
      <c r="V259" s="54">
        <f t="shared" si="5"/>
        <v>14.837791149653809</v>
      </c>
    </row>
    <row r="260" spans="2:22" ht="15">
      <c r="B260" s="44">
        <v>616.24</v>
      </c>
      <c r="C260" s="44">
        <v>622.79</v>
      </c>
      <c r="D260" s="44">
        <v>614.82000000000005</v>
      </c>
      <c r="E260" s="44">
        <v>621.96</v>
      </c>
      <c r="F260" s="44">
        <v>7032116</v>
      </c>
      <c r="G260" s="44" t="s">
        <v>1593</v>
      </c>
      <c r="H260" s="25">
        <f t="shared" si="6"/>
        <v>-9.1967329088687988E-3</v>
      </c>
      <c r="J260" s="44">
        <v>547.78</v>
      </c>
      <c r="K260" s="44">
        <v>548.54999999999995</v>
      </c>
      <c r="L260" s="44">
        <v>538.07000000000005</v>
      </c>
      <c r="M260" s="44">
        <v>547.03</v>
      </c>
      <c r="N260" s="44">
        <v>2045306</v>
      </c>
      <c r="O260" s="44" t="s">
        <v>1593</v>
      </c>
      <c r="P260" s="25">
        <f t="shared" si="7"/>
        <v>1.3710399795257011E-3</v>
      </c>
      <c r="R260" s="51">
        <v>-1.3999999999999978E-2</v>
      </c>
      <c r="S260">
        <v>11</v>
      </c>
      <c r="U260" s="50">
        <f t="shared" si="4"/>
        <v>-1.4999999999999979E-2</v>
      </c>
      <c r="V260" s="54">
        <f t="shared" si="5"/>
        <v>15.670371959118638</v>
      </c>
    </row>
    <row r="261" spans="2:22" ht="15">
      <c r="B261" s="44">
        <v>622.86</v>
      </c>
      <c r="C261" s="44">
        <v>626</v>
      </c>
      <c r="D261" s="44">
        <v>619.83000000000004</v>
      </c>
      <c r="E261" s="44">
        <v>620.59</v>
      </c>
      <c r="F261" s="44">
        <v>10264461</v>
      </c>
      <c r="G261" s="44" t="s">
        <v>1594</v>
      </c>
      <c r="H261" s="25">
        <f t="shared" si="6"/>
        <v>3.6578095038592995E-3</v>
      </c>
      <c r="J261" s="44">
        <v>548.54999999999995</v>
      </c>
      <c r="K261" s="44">
        <v>552</v>
      </c>
      <c r="L261" s="44">
        <v>536.15</v>
      </c>
      <c r="M261" s="44">
        <v>538</v>
      </c>
      <c r="N261" s="44">
        <v>2861442</v>
      </c>
      <c r="O261" s="44" t="s">
        <v>1594</v>
      </c>
      <c r="P261" s="25">
        <f t="shared" si="7"/>
        <v>1.9609665427509304E-2</v>
      </c>
      <c r="R261" s="51">
        <v>-1.2999999999999977E-2</v>
      </c>
      <c r="S261">
        <v>9</v>
      </c>
      <c r="U261" s="50">
        <f t="shared" si="4"/>
        <v>-1.3999999999999978E-2</v>
      </c>
      <c r="V261" s="54">
        <f t="shared" si="5"/>
        <v>16.492504777825719</v>
      </c>
    </row>
    <row r="262" spans="2:22" ht="15">
      <c r="B262" s="44">
        <v>620.99</v>
      </c>
      <c r="C262" s="44">
        <v>625.16999999999996</v>
      </c>
      <c r="D262" s="44">
        <v>620.20000000000005</v>
      </c>
      <c r="E262" s="44">
        <v>621.65</v>
      </c>
      <c r="F262" s="44">
        <v>8203353</v>
      </c>
      <c r="G262" s="44" t="s">
        <v>1595</v>
      </c>
      <c r="H262" s="25">
        <f t="shared" si="6"/>
        <v>-1.0616906619479449E-3</v>
      </c>
      <c r="J262" s="44">
        <v>538.82000000000005</v>
      </c>
      <c r="K262" s="44">
        <v>546</v>
      </c>
      <c r="L262" s="44">
        <v>535.4</v>
      </c>
      <c r="M262" s="44">
        <v>545.09</v>
      </c>
      <c r="N262" s="44">
        <v>1754599</v>
      </c>
      <c r="O262" s="44" t="s">
        <v>1595</v>
      </c>
      <c r="P262" s="25">
        <f t="shared" si="7"/>
        <v>-1.1502687629565744E-2</v>
      </c>
      <c r="R262" s="51">
        <v>-1.1999999999999976E-2</v>
      </c>
      <c r="S262">
        <v>19</v>
      </c>
      <c r="U262" s="50">
        <f t="shared" si="4"/>
        <v>-1.2999999999999977E-2</v>
      </c>
      <c r="V262" s="54">
        <f t="shared" si="5"/>
        <v>17.297812845771254</v>
      </c>
    </row>
    <row r="263" spans="2:22" ht="15">
      <c r="B263" s="44">
        <v>628.27</v>
      </c>
      <c r="C263" s="44">
        <v>630.54</v>
      </c>
      <c r="D263" s="44">
        <v>625.16</v>
      </c>
      <c r="E263" s="44">
        <v>630.41999999999996</v>
      </c>
      <c r="F263" s="44">
        <v>5510227</v>
      </c>
      <c r="G263" s="44" t="s">
        <v>1596</v>
      </c>
      <c r="H263" s="25">
        <f t="shared" si="6"/>
        <v>-3.4104247961675993E-3</v>
      </c>
      <c r="J263" s="44">
        <v>544.21</v>
      </c>
      <c r="K263" s="44">
        <v>544.84</v>
      </c>
      <c r="L263" s="44">
        <v>527.60159999999996</v>
      </c>
      <c r="M263" s="44">
        <v>532.05499999999995</v>
      </c>
      <c r="N263" s="44">
        <v>2039469</v>
      </c>
      <c r="O263" s="44" t="s">
        <v>1596</v>
      </c>
      <c r="P263" s="25">
        <f t="shared" si="7"/>
        <v>2.2845382526242686E-2</v>
      </c>
      <c r="R263" s="51">
        <v>-1.0999999999999975E-2</v>
      </c>
      <c r="S263">
        <v>26</v>
      </c>
      <c r="U263" s="50">
        <f t="shared" si="4"/>
        <v>-1.1999999999999976E-2</v>
      </c>
      <c r="V263" s="54">
        <f t="shared" si="5"/>
        <v>18.079775410593953</v>
      </c>
    </row>
    <row r="264" spans="2:22" ht="15">
      <c r="B264" s="44">
        <v>627.04</v>
      </c>
      <c r="C264" s="44">
        <v>629.94000000000005</v>
      </c>
      <c r="D264" s="44">
        <v>624.5</v>
      </c>
      <c r="E264" s="44">
        <v>629.84</v>
      </c>
      <c r="F264" s="44">
        <v>7019277</v>
      </c>
      <c r="G264" s="44" t="s">
        <v>1597</v>
      </c>
      <c r="H264" s="25">
        <f t="shared" si="6"/>
        <v>-4.4455734789788925E-3</v>
      </c>
      <c r="J264" s="44">
        <v>534.28</v>
      </c>
      <c r="K264" s="44">
        <v>538.14</v>
      </c>
      <c r="L264" s="44">
        <v>526.20000000000005</v>
      </c>
      <c r="M264" s="44">
        <v>528.625</v>
      </c>
      <c r="N264" s="44">
        <v>1718514</v>
      </c>
      <c r="O264" s="44" t="s">
        <v>1597</v>
      </c>
      <c r="P264" s="25">
        <f t="shared" si="7"/>
        <v>1.0697564436036755E-2</v>
      </c>
      <c r="R264" s="51">
        <v>-9.9999999999999742E-3</v>
      </c>
      <c r="S264">
        <v>18</v>
      </c>
      <c r="U264" s="50">
        <f t="shared" si="4"/>
        <v>-1.0999999999999975E-2</v>
      </c>
      <c r="V264" s="54">
        <f t="shared" si="5"/>
        <v>18.831812900842401</v>
      </c>
    </row>
    <row r="265" spans="2:22" ht="15">
      <c r="B265" s="44">
        <v>625.24</v>
      </c>
      <c r="C265" s="44">
        <v>630.63</v>
      </c>
      <c r="D265" s="44">
        <v>625.1</v>
      </c>
      <c r="E265" s="44">
        <v>628.80999999999995</v>
      </c>
      <c r="F265" s="44">
        <v>6171678</v>
      </c>
      <c r="G265" s="44" t="s">
        <v>1598</v>
      </c>
      <c r="H265" s="25">
        <f t="shared" si="6"/>
        <v>-5.6773906267393315E-3</v>
      </c>
      <c r="J265" s="44">
        <v>530.02</v>
      </c>
      <c r="K265" s="44">
        <v>538</v>
      </c>
      <c r="L265" s="44">
        <v>529.30799999999999</v>
      </c>
      <c r="M265" s="44">
        <v>534.37</v>
      </c>
      <c r="N265" s="44">
        <v>1771058</v>
      </c>
      <c r="O265" s="44" t="s">
        <v>1598</v>
      </c>
      <c r="P265" s="25">
        <f t="shared" si="7"/>
        <v>-8.1404270449314531E-3</v>
      </c>
      <c r="R265" s="51">
        <v>-8.9999999999999733E-3</v>
      </c>
      <c r="S265">
        <v>22</v>
      </c>
      <c r="U265" s="50">
        <f t="shared" si="4"/>
        <v>-9.9999999999999742E-3</v>
      </c>
      <c r="V265" s="54">
        <f t="shared" si="5"/>
        <v>19.547377135855729</v>
      </c>
    </row>
    <row r="266" spans="2:22" ht="15">
      <c r="B266" s="44">
        <v>631.95000000000005</v>
      </c>
      <c r="C266" s="44">
        <v>634.13</v>
      </c>
      <c r="D266" s="44">
        <v>627.87</v>
      </c>
      <c r="E266" s="44">
        <v>633.21</v>
      </c>
      <c r="F266" s="44">
        <v>6037388</v>
      </c>
      <c r="G266" s="44" t="s">
        <v>1599</v>
      </c>
      <c r="H266" s="25">
        <f t="shared" si="6"/>
        <v>-1.9898611834936464E-3</v>
      </c>
      <c r="J266" s="44">
        <v>537.59</v>
      </c>
      <c r="K266" s="44">
        <v>544.95000000000005</v>
      </c>
      <c r="L266" s="44">
        <v>534.45000000000005</v>
      </c>
      <c r="M266" s="44">
        <v>543</v>
      </c>
      <c r="N266" s="44">
        <v>1675879</v>
      </c>
      <c r="O266" s="44" t="s">
        <v>1599</v>
      </c>
      <c r="P266" s="25">
        <f t="shared" si="7"/>
        <v>-9.963167587476951E-3</v>
      </c>
      <c r="R266" s="51">
        <v>-7.9999999999999724E-3</v>
      </c>
      <c r="S266">
        <v>24</v>
      </c>
      <c r="U266" s="50">
        <f t="shared" si="4"/>
        <v>-8.9999999999999733E-3</v>
      </c>
      <c r="V266" s="54">
        <f t="shared" si="5"/>
        <v>20.220044891894513</v>
      </c>
    </row>
    <row r="267" spans="2:22" ht="15">
      <c r="B267" s="44">
        <v>631.69000000000005</v>
      </c>
      <c r="C267" s="44">
        <v>633.39</v>
      </c>
      <c r="D267" s="44">
        <v>629.64</v>
      </c>
      <c r="E267" s="44">
        <v>631.71</v>
      </c>
      <c r="F267" s="44">
        <v>5575277</v>
      </c>
      <c r="G267" s="44" t="s">
        <v>1600</v>
      </c>
      <c r="H267" s="25">
        <f t="shared" si="6"/>
        <v>-3.1660097196462011E-5</v>
      </c>
      <c r="J267" s="44">
        <v>545.39</v>
      </c>
      <c r="K267" s="44">
        <v>552.20000000000005</v>
      </c>
      <c r="L267" s="44">
        <v>539</v>
      </c>
      <c r="M267" s="44">
        <v>546.62</v>
      </c>
      <c r="N267" s="44">
        <v>1575541</v>
      </c>
      <c r="O267" s="44" t="s">
        <v>1600</v>
      </c>
      <c r="P267" s="25">
        <f t="shared" si="7"/>
        <v>-2.25019208956867E-3</v>
      </c>
      <c r="R267" s="51">
        <v>-6.9999999999999724E-3</v>
      </c>
      <c r="S267">
        <v>30</v>
      </c>
      <c r="U267" s="50">
        <f t="shared" si="4"/>
        <v>-7.9999999999999724E-3</v>
      </c>
      <c r="V267" s="54">
        <f t="shared" si="5"/>
        <v>20.843612988700219</v>
      </c>
    </row>
    <row r="268" spans="2:22" ht="15">
      <c r="B268" s="44">
        <v>630</v>
      </c>
      <c r="C268" s="44">
        <v>630.29</v>
      </c>
      <c r="D268" s="44">
        <v>627.16</v>
      </c>
      <c r="E268" s="44">
        <v>627.74</v>
      </c>
      <c r="F268" s="44">
        <v>7804316</v>
      </c>
      <c r="G268" s="44" t="s">
        <v>1601</v>
      </c>
      <c r="H268" s="25">
        <f t="shared" si="6"/>
        <v>3.600216650205379E-3</v>
      </c>
      <c r="J268" s="44">
        <v>551.25</v>
      </c>
      <c r="K268" s="44">
        <v>551.63</v>
      </c>
      <c r="L268" s="44">
        <v>538.75</v>
      </c>
      <c r="M268" s="44">
        <v>544.75</v>
      </c>
      <c r="N268" s="44">
        <v>2135936</v>
      </c>
      <c r="O268" s="44" t="s">
        <v>1601</v>
      </c>
      <c r="P268" s="25">
        <f t="shared" si="7"/>
        <v>1.1932078935291468E-2</v>
      </c>
      <c r="R268" s="51">
        <v>-5.9999999999999724E-3</v>
      </c>
      <c r="S268">
        <v>31</v>
      </c>
      <c r="U268" s="50">
        <f t="shared" si="4"/>
        <v>-6.9999999999999724E-3</v>
      </c>
      <c r="V268" s="54">
        <f t="shared" si="5"/>
        <v>21.412192950363764</v>
      </c>
    </row>
    <row r="269" spans="2:22" ht="15">
      <c r="B269" s="44">
        <v>622.54999999999995</v>
      </c>
      <c r="C269" s="44">
        <v>623.78989999999999</v>
      </c>
      <c r="D269" s="44">
        <v>621.20699999999999</v>
      </c>
      <c r="E269" s="44">
        <v>621.91999999999996</v>
      </c>
      <c r="F269" s="44">
        <v>5650844</v>
      </c>
      <c r="G269" s="44" t="s">
        <v>1602</v>
      </c>
      <c r="H269" s="25">
        <f t="shared" si="6"/>
        <v>1.0129920246977342E-3</v>
      </c>
      <c r="J269" s="44">
        <v>546.51</v>
      </c>
      <c r="K269" s="44">
        <v>552.45000000000005</v>
      </c>
      <c r="L269" s="44">
        <v>541.46</v>
      </c>
      <c r="M269" s="44">
        <v>547.625</v>
      </c>
      <c r="N269" s="44">
        <v>2690184</v>
      </c>
      <c r="O269" s="44" t="s">
        <v>1602</v>
      </c>
      <c r="P269" s="25">
        <f t="shared" si="7"/>
        <v>-2.0360648253823221E-3</v>
      </c>
      <c r="R269" s="51">
        <v>-4.9999999999999723E-3</v>
      </c>
      <c r="S269">
        <v>40</v>
      </c>
      <c r="U269" s="50">
        <f t="shared" si="4"/>
        <v>-5.9999999999999724E-3</v>
      </c>
      <c r="V269" s="54">
        <f t="shared" si="5"/>
        <v>21.920303234523104</v>
      </c>
    </row>
    <row r="270" spans="2:22" ht="15">
      <c r="B270" s="44">
        <v>617.44000000000005</v>
      </c>
      <c r="C270" s="44">
        <v>618.47400000000005</v>
      </c>
      <c r="D270" s="44">
        <v>613.99</v>
      </c>
      <c r="E270" s="44">
        <v>614.25</v>
      </c>
      <c r="F270" s="44">
        <v>5825360</v>
      </c>
      <c r="G270" s="44" t="s">
        <v>1603</v>
      </c>
      <c r="H270" s="25">
        <f t="shared" si="6"/>
        <v>5.1933251933253821E-3</v>
      </c>
      <c r="J270" s="44">
        <v>551.29999999999995</v>
      </c>
      <c r="K270" s="44">
        <v>552.5</v>
      </c>
      <c r="L270" s="44">
        <v>525.08450000000005</v>
      </c>
      <c r="M270" s="44">
        <v>525.37</v>
      </c>
      <c r="N270" s="44">
        <v>3968970</v>
      </c>
      <c r="O270" s="44" t="s">
        <v>1603</v>
      </c>
      <c r="P270" s="25">
        <f t="shared" si="7"/>
        <v>4.935569217884539E-2</v>
      </c>
      <c r="R270" s="51">
        <v>-3.9999999999999723E-3</v>
      </c>
      <c r="S270">
        <v>32</v>
      </c>
      <c r="U270" s="50">
        <f t="shared" si="4"/>
        <v>-4.9999999999999723E-3</v>
      </c>
      <c r="V270" s="54">
        <f t="shared" si="5"/>
        <v>22.36295701819423</v>
      </c>
    </row>
    <row r="271" spans="2:22" ht="15">
      <c r="B271" s="44">
        <v>613.97</v>
      </c>
      <c r="C271" s="44">
        <v>617.83000000000004</v>
      </c>
      <c r="D271" s="44">
        <v>609.83000000000004</v>
      </c>
      <c r="E271" s="44">
        <v>617.83000000000004</v>
      </c>
      <c r="F271" s="44">
        <v>6119026</v>
      </c>
      <c r="G271" s="44" t="s">
        <v>1604</v>
      </c>
      <c r="H271" s="25">
        <f t="shared" si="6"/>
        <v>-6.247673308191648E-3</v>
      </c>
      <c r="J271" s="44">
        <v>527.03</v>
      </c>
      <c r="K271" s="44">
        <v>549.85</v>
      </c>
      <c r="L271" s="44">
        <v>522.16560000000004</v>
      </c>
      <c r="M271" s="44">
        <v>543</v>
      </c>
      <c r="N271" s="44">
        <v>8301272</v>
      </c>
      <c r="O271" s="44" t="s">
        <v>1604</v>
      </c>
      <c r="P271" s="25">
        <f t="shared" si="7"/>
        <v>-2.9410681399631766E-2</v>
      </c>
      <c r="R271" s="51">
        <v>-2.9999999999999723E-3</v>
      </c>
      <c r="S271">
        <v>48</v>
      </c>
      <c r="U271" s="50">
        <f t="shared" si="4"/>
        <v>-3.9999999999999723E-3</v>
      </c>
      <c r="V271" s="54">
        <f t="shared" si="5"/>
        <v>22.735743578911862</v>
      </c>
    </row>
    <row r="272" spans="2:22" ht="15">
      <c r="B272" s="44">
        <v>617.09</v>
      </c>
      <c r="C272" s="44">
        <v>618.74</v>
      </c>
      <c r="D272" s="44">
        <v>615.98099999999999</v>
      </c>
      <c r="E272" s="44">
        <v>617.33000000000004</v>
      </c>
      <c r="F272" s="44">
        <v>4156131</v>
      </c>
      <c r="G272" s="44" t="s">
        <v>1605</v>
      </c>
      <c r="H272" s="25">
        <f t="shared" si="6"/>
        <v>-3.8877099768364065E-4</v>
      </c>
      <c r="J272" s="44">
        <v>462.74</v>
      </c>
      <c r="K272" s="44">
        <v>466.97989999999999</v>
      </c>
      <c r="L272" s="44">
        <v>456.31</v>
      </c>
      <c r="M272" s="44">
        <v>459.47</v>
      </c>
      <c r="N272" s="44">
        <v>4159132</v>
      </c>
      <c r="O272" s="44" t="s">
        <v>1605</v>
      </c>
      <c r="P272" s="25">
        <f t="shared" si="7"/>
        <v>7.1168955535725331E-3</v>
      </c>
      <c r="R272" s="51">
        <v>-1.9999999999999723E-3</v>
      </c>
      <c r="S272">
        <v>35</v>
      </c>
      <c r="U272" s="50">
        <f t="shared" si="4"/>
        <v>-2.9999999999999723E-3</v>
      </c>
      <c r="V272" s="54">
        <f t="shared" si="5"/>
        <v>23.034901416357446</v>
      </c>
    </row>
    <row r="273" spans="2:22" ht="15">
      <c r="B273" s="44">
        <v>617.16999999999996</v>
      </c>
      <c r="C273" s="44">
        <v>618.01</v>
      </c>
      <c r="D273" s="44">
        <v>613.51</v>
      </c>
      <c r="E273" s="44">
        <v>613.51</v>
      </c>
      <c r="F273" s="44">
        <v>4049225</v>
      </c>
      <c r="G273" s="44" t="s">
        <v>1606</v>
      </c>
      <c r="H273" s="25">
        <f t="shared" si="6"/>
        <v>5.9656729311665657E-3</v>
      </c>
      <c r="J273" s="44">
        <v>458.47</v>
      </c>
      <c r="K273" s="44">
        <v>461.83</v>
      </c>
      <c r="L273" s="44">
        <v>451.35</v>
      </c>
      <c r="M273" s="44">
        <v>452.5</v>
      </c>
      <c r="N273" s="44">
        <v>3167225</v>
      </c>
      <c r="O273" s="44" t="s">
        <v>1606</v>
      </c>
      <c r="P273" s="25">
        <f t="shared" si="7"/>
        <v>1.3193370165745844E-2</v>
      </c>
      <c r="R273" s="51">
        <v>-9.9999999999997227E-4</v>
      </c>
      <c r="S273">
        <v>25</v>
      </c>
      <c r="U273" s="50">
        <f t="shared" si="4"/>
        <v>-1.9999999999999723E-3</v>
      </c>
      <c r="V273" s="54">
        <f t="shared" si="5"/>
        <v>23.257381420371154</v>
      </c>
    </row>
    <row r="274" spans="2:22" ht="15">
      <c r="B274" s="44">
        <v>610.76</v>
      </c>
      <c r="C274" s="44">
        <v>612.02</v>
      </c>
      <c r="D274" s="44">
        <v>605.1</v>
      </c>
      <c r="E274" s="44">
        <v>606.34</v>
      </c>
      <c r="F274" s="44">
        <v>6884090</v>
      </c>
      <c r="G274" s="44" t="s">
        <v>1607</v>
      </c>
      <c r="H274" s="25">
        <f t="shared" si="6"/>
        <v>7.289639476201426E-3</v>
      </c>
      <c r="J274" s="44">
        <v>446.13</v>
      </c>
      <c r="K274" s="44">
        <v>449.09</v>
      </c>
      <c r="L274" s="44">
        <v>434.57</v>
      </c>
      <c r="M274" s="44">
        <v>437.17</v>
      </c>
      <c r="N274" s="44">
        <v>2147352</v>
      </c>
      <c r="O274" s="44" t="s">
        <v>1607</v>
      </c>
      <c r="P274" s="25">
        <f t="shared" si="7"/>
        <v>2.0495459432257501E-2</v>
      </c>
      <c r="R274" s="51">
        <v>2.7755575615628914E-17</v>
      </c>
      <c r="S274">
        <v>41</v>
      </c>
      <c r="U274" s="50">
        <f t="shared" si="4"/>
        <v>-9.9999999999997227E-4</v>
      </c>
      <c r="V274" s="54">
        <f t="shared" si="5"/>
        <v>23.400898602335978</v>
      </c>
    </row>
    <row r="275" spans="2:22" ht="15">
      <c r="B275" s="44">
        <v>607.39</v>
      </c>
      <c r="C275" s="44">
        <v>614.79999999999995</v>
      </c>
      <c r="D275" s="44">
        <v>604.14</v>
      </c>
      <c r="E275" s="44">
        <v>613.11</v>
      </c>
      <c r="F275" s="44">
        <v>7533209</v>
      </c>
      <c r="G275" s="44" t="s">
        <v>1608</v>
      </c>
      <c r="H275" s="25">
        <f t="shared" si="6"/>
        <v>-9.3294841056255073E-3</v>
      </c>
      <c r="J275" s="44">
        <v>434.62</v>
      </c>
      <c r="K275" s="44">
        <v>439.49</v>
      </c>
      <c r="L275" s="44">
        <v>433.81</v>
      </c>
      <c r="M275" s="44">
        <v>438.47</v>
      </c>
      <c r="N275" s="44">
        <v>1962450</v>
      </c>
      <c r="O275" s="44" t="s">
        <v>1608</v>
      </c>
      <c r="P275" s="25">
        <f t="shared" si="7"/>
        <v>-8.7805323055170081E-3</v>
      </c>
      <c r="R275" s="51">
        <v>1.0000000000000278E-3</v>
      </c>
      <c r="S275">
        <v>30</v>
      </c>
      <c r="U275" s="50">
        <f t="shared" si="4"/>
        <v>2.7755575615628914E-17</v>
      </c>
      <c r="V275" s="54">
        <f t="shared" si="5"/>
        <v>23.463971162714657</v>
      </c>
    </row>
    <row r="276" spans="2:22" ht="15">
      <c r="B276" s="44">
        <v>611.42999999999995</v>
      </c>
      <c r="C276" s="44">
        <v>616.20500000000004</v>
      </c>
      <c r="D276" s="44">
        <v>605.82000000000005</v>
      </c>
      <c r="E276" s="44">
        <v>613.07000000000005</v>
      </c>
      <c r="F276" s="44">
        <v>6474986</v>
      </c>
      <c r="G276" s="44" t="s">
        <v>1609</v>
      </c>
      <c r="H276" s="25">
        <f t="shared" si="6"/>
        <v>-2.6750615753504681E-3</v>
      </c>
      <c r="J276" s="44">
        <v>435.61</v>
      </c>
      <c r="K276" s="44">
        <v>440.82</v>
      </c>
      <c r="L276" s="44">
        <v>432.78</v>
      </c>
      <c r="M276" s="44">
        <v>437</v>
      </c>
      <c r="N276" s="44">
        <v>1887225</v>
      </c>
      <c r="O276" s="44" t="s">
        <v>1609</v>
      </c>
      <c r="P276" s="25">
        <f t="shared" si="7"/>
        <v>-3.1807780320365353E-3</v>
      </c>
      <c r="R276" s="51">
        <v>2.0000000000000278E-3</v>
      </c>
      <c r="S276">
        <v>44</v>
      </c>
      <c r="U276" s="50">
        <f t="shared" si="4"/>
        <v>1.0000000000000278E-3</v>
      </c>
      <c r="V276" s="54">
        <f t="shared" si="5"/>
        <v>23.44594596069723</v>
      </c>
    </row>
    <row r="277" spans="2:22" ht="15">
      <c r="B277" s="44">
        <v>608.75</v>
      </c>
      <c r="C277" s="44">
        <v>612.14</v>
      </c>
      <c r="D277" s="44">
        <v>600.51</v>
      </c>
      <c r="E277" s="44">
        <v>604.20000000000005</v>
      </c>
      <c r="F277" s="44">
        <v>7469018</v>
      </c>
      <c r="G277" s="44" t="s">
        <v>1610</v>
      </c>
      <c r="H277" s="25">
        <f t="shared" si="6"/>
        <v>7.5306190003310292E-3</v>
      </c>
      <c r="J277" s="44">
        <v>436.39</v>
      </c>
      <c r="K277" s="44">
        <v>439.20499999999998</v>
      </c>
      <c r="L277" s="44">
        <v>427.83600000000001</v>
      </c>
      <c r="M277" s="44">
        <v>430.3</v>
      </c>
      <c r="N277" s="44">
        <v>2059771</v>
      </c>
      <c r="O277" s="44" t="s">
        <v>1610</v>
      </c>
      <c r="P277" s="25">
        <f t="shared" si="7"/>
        <v>1.4152916569834861E-2</v>
      </c>
      <c r="R277" s="51">
        <v>3.0000000000000278E-3</v>
      </c>
      <c r="S277">
        <v>49</v>
      </c>
      <c r="U277" s="50">
        <f t="shared" si="4"/>
        <v>2.0000000000000278E-3</v>
      </c>
      <c r="V277" s="54">
        <f t="shared" si="5"/>
        <v>23.347009773772424</v>
      </c>
    </row>
    <row r="278" spans="2:22" ht="15">
      <c r="B278" s="44">
        <v>609.61</v>
      </c>
      <c r="C278" s="44">
        <v>611.02719999999999</v>
      </c>
      <c r="D278" s="44">
        <v>606.57500000000005</v>
      </c>
      <c r="E278" s="44">
        <v>607.37</v>
      </c>
      <c r="F278" s="44">
        <v>6942460</v>
      </c>
      <c r="G278" s="44" t="s">
        <v>1611</v>
      </c>
      <c r="H278" s="25">
        <f t="shared" si="6"/>
        <v>3.6880320068493067E-3</v>
      </c>
      <c r="J278" s="44">
        <v>435.73</v>
      </c>
      <c r="K278" s="44">
        <v>438.1</v>
      </c>
      <c r="L278" s="44">
        <v>430</v>
      </c>
      <c r="M278" s="44">
        <v>432.43</v>
      </c>
      <c r="N278" s="44">
        <v>1851044</v>
      </c>
      <c r="O278" s="44" t="s">
        <v>1611</v>
      </c>
      <c r="P278" s="25">
        <f t="shared" si="7"/>
        <v>7.6312929260227147E-3</v>
      </c>
      <c r="R278" s="51">
        <v>4.0000000000000278E-3</v>
      </c>
      <c r="S278">
        <v>32</v>
      </c>
      <c r="U278" s="50">
        <f t="shared" si="4"/>
        <v>3.0000000000000278E-3</v>
      </c>
      <c r="V278" s="54">
        <f t="shared" si="5"/>
        <v>23.168186075788288</v>
      </c>
    </row>
    <row r="279" spans="2:22" ht="15">
      <c r="B279" s="44">
        <v>600.51</v>
      </c>
      <c r="C279" s="44">
        <v>619.6</v>
      </c>
      <c r="D279" s="44">
        <v>600.23</v>
      </c>
      <c r="E279" s="44">
        <v>617.99</v>
      </c>
      <c r="F279" s="44">
        <v>13339202</v>
      </c>
      <c r="G279" s="44" t="s">
        <v>1612</v>
      </c>
      <c r="H279" s="25">
        <f t="shared" si="6"/>
        <v>-2.8285247334099317E-2</v>
      </c>
      <c r="J279" s="44">
        <v>429.59</v>
      </c>
      <c r="K279" s="44">
        <v>446.99</v>
      </c>
      <c r="L279" s="44">
        <v>429.25</v>
      </c>
      <c r="M279" s="44">
        <v>444.06</v>
      </c>
      <c r="N279" s="44">
        <v>2755903</v>
      </c>
      <c r="O279" s="44" t="s">
        <v>1612</v>
      </c>
      <c r="P279" s="25">
        <f t="shared" si="7"/>
        <v>-3.2585686618925469E-2</v>
      </c>
      <c r="R279" s="51">
        <v>5.0000000000000279E-3</v>
      </c>
      <c r="S279">
        <v>39</v>
      </c>
      <c r="U279" s="50">
        <f t="shared" si="4"/>
        <v>4.0000000000000278E-3</v>
      </c>
      <c r="V279" s="54">
        <f t="shared" si="5"/>
        <v>22.911317411223003</v>
      </c>
    </row>
    <row r="280" spans="2:22" ht="15">
      <c r="B280" s="44">
        <v>617.1</v>
      </c>
      <c r="C280" s="44">
        <v>619.59</v>
      </c>
      <c r="D280" s="44">
        <v>615.28</v>
      </c>
      <c r="E280" s="44">
        <v>619.23</v>
      </c>
      <c r="F280" s="44">
        <v>5879748</v>
      </c>
      <c r="G280" s="44" t="s">
        <v>1613</v>
      </c>
      <c r="H280" s="25">
        <f t="shared" si="6"/>
        <v>-3.439755825783597E-3</v>
      </c>
      <c r="J280" s="44">
        <v>443.76</v>
      </c>
      <c r="K280" s="44">
        <v>450.29</v>
      </c>
      <c r="L280" s="44">
        <v>443.26</v>
      </c>
      <c r="M280" s="44">
        <v>447.76</v>
      </c>
      <c r="N280" s="44">
        <v>1580693</v>
      </c>
      <c r="O280" s="44" t="s">
        <v>1613</v>
      </c>
      <c r="P280" s="25">
        <f t="shared" si="7"/>
        <v>-8.9333571556190483E-3</v>
      </c>
      <c r="R280" s="51">
        <v>6.0000000000000279E-3</v>
      </c>
      <c r="S280">
        <v>52</v>
      </c>
      <c r="U280" s="50">
        <f t="shared" si="4"/>
        <v>5.0000000000000279E-3</v>
      </c>
      <c r="V280" s="54">
        <f t="shared" si="5"/>
        <v>22.579033790134766</v>
      </c>
    </row>
    <row r="281" spans="2:22" ht="15">
      <c r="B281" s="44">
        <v>618.77</v>
      </c>
      <c r="C281" s="44">
        <v>618.9</v>
      </c>
      <c r="D281" s="44">
        <v>615.46420000000001</v>
      </c>
      <c r="E281" s="44">
        <v>616.21500000000003</v>
      </c>
      <c r="F281" s="44">
        <v>5000436</v>
      </c>
      <c r="G281" s="44" t="s">
        <v>1614</v>
      </c>
      <c r="H281" s="25">
        <f t="shared" si="6"/>
        <v>4.1462801132721161E-3</v>
      </c>
      <c r="J281" s="44">
        <v>448.09</v>
      </c>
      <c r="K281" s="44">
        <v>450.53</v>
      </c>
      <c r="L281" s="44">
        <v>439.42</v>
      </c>
      <c r="M281" s="44">
        <v>442.30500000000001</v>
      </c>
      <c r="N281" s="44">
        <v>1751448</v>
      </c>
      <c r="O281" s="44" t="s">
        <v>1614</v>
      </c>
      <c r="P281" s="25">
        <f t="shared" si="7"/>
        <v>1.3079210047365342E-2</v>
      </c>
      <c r="R281" s="51">
        <v>7.0000000000000279E-3</v>
      </c>
      <c r="S281">
        <v>35</v>
      </c>
      <c r="U281" s="50">
        <f t="shared" si="4"/>
        <v>6.0000000000000279E-3</v>
      </c>
      <c r="V281" s="54">
        <f t="shared" si="5"/>
        <v>22.174707861879753</v>
      </c>
    </row>
    <row r="282" spans="2:22" ht="15">
      <c r="B282" s="44">
        <v>615.20000000000005</v>
      </c>
      <c r="C282" s="44">
        <v>618.73929999999996</v>
      </c>
      <c r="D282" s="44">
        <v>613.82000000000005</v>
      </c>
      <c r="E282" s="44">
        <v>618.29999999999995</v>
      </c>
      <c r="F282" s="44">
        <v>7439508</v>
      </c>
      <c r="G282" s="44" t="s">
        <v>1615</v>
      </c>
      <c r="H282" s="25">
        <f t="shared" si="6"/>
        <v>-5.0137473718258052E-3</v>
      </c>
      <c r="J282" s="44">
        <v>440.94</v>
      </c>
      <c r="K282" s="44">
        <v>451</v>
      </c>
      <c r="L282" s="44">
        <v>439.47</v>
      </c>
      <c r="M282" s="44">
        <v>449.24</v>
      </c>
      <c r="N282" s="44">
        <v>1908575</v>
      </c>
      <c r="O282" s="44" t="s">
        <v>1615</v>
      </c>
      <c r="P282" s="25">
        <f t="shared" si="7"/>
        <v>-1.8475647760662461E-2</v>
      </c>
      <c r="R282" s="51">
        <v>8.0000000000000279E-3</v>
      </c>
      <c r="S282">
        <v>26</v>
      </c>
      <c r="U282" s="50">
        <f t="shared" si="4"/>
        <v>7.0000000000000279E-3</v>
      </c>
      <c r="V282" s="54">
        <f t="shared" si="5"/>
        <v>21.702397935955158</v>
      </c>
    </row>
    <row r="283" spans="2:22" ht="15">
      <c r="B283" s="44">
        <v>617.4</v>
      </c>
      <c r="C283" s="44">
        <v>618.28</v>
      </c>
      <c r="D283" s="44">
        <v>615.48</v>
      </c>
      <c r="E283" s="44">
        <v>617.46</v>
      </c>
      <c r="F283" s="44">
        <v>5958193</v>
      </c>
      <c r="G283" s="44" t="s">
        <v>1616</v>
      </c>
      <c r="H283" s="25">
        <f t="shared" si="6"/>
        <v>-9.7172286463997892E-5</v>
      </c>
      <c r="J283" s="44">
        <v>449.69</v>
      </c>
      <c r="K283" s="44">
        <v>460.3</v>
      </c>
      <c r="L283" s="44">
        <v>449.08</v>
      </c>
      <c r="M283" s="44">
        <v>459.71</v>
      </c>
      <c r="N283" s="44">
        <v>2457176</v>
      </c>
      <c r="O283" s="44" t="s">
        <v>1616</v>
      </c>
      <c r="P283" s="25">
        <f t="shared" si="7"/>
        <v>-2.1796349872745813E-2</v>
      </c>
      <c r="R283" s="51">
        <v>9.0000000000000288E-3</v>
      </c>
      <c r="S283">
        <v>23</v>
      </c>
      <c r="U283" s="50">
        <f t="shared" si="4"/>
        <v>8.0000000000000279E-3</v>
      </c>
      <c r="V283" s="54">
        <f t="shared" si="5"/>
        <v>21.166780195894095</v>
      </c>
    </row>
    <row r="284" spans="2:22" ht="15">
      <c r="B284" s="44">
        <v>615.29999999999995</v>
      </c>
      <c r="C284" s="44">
        <v>618.41999999999996</v>
      </c>
      <c r="D284" s="44">
        <v>614.28800000000001</v>
      </c>
      <c r="E284" s="44">
        <v>615.95000000000005</v>
      </c>
      <c r="F284" s="44">
        <v>7187163</v>
      </c>
      <c r="G284" s="44" t="s">
        <v>1617</v>
      </c>
      <c r="H284" s="25">
        <f t="shared" si="6"/>
        <v>-1.0552804610765021E-3</v>
      </c>
      <c r="J284" s="44">
        <v>452.35</v>
      </c>
      <c r="K284" s="44">
        <v>456.59</v>
      </c>
      <c r="L284" s="44">
        <v>443.49</v>
      </c>
      <c r="M284" s="44">
        <v>443.84500000000003</v>
      </c>
      <c r="N284" s="44">
        <v>2195686</v>
      </c>
      <c r="O284" s="44" t="s">
        <v>1617</v>
      </c>
      <c r="P284" s="25">
        <f t="shared" si="7"/>
        <v>1.9162094875463165E-2</v>
      </c>
      <c r="R284" s="51">
        <v>1.000000000000003E-2</v>
      </c>
      <c r="S284">
        <v>31</v>
      </c>
      <c r="U284" s="50">
        <f t="shared" si="4"/>
        <v>9.0000000000000288E-3</v>
      </c>
      <c r="V284" s="54">
        <f t="shared" si="5"/>
        <v>20.573071688886209</v>
      </c>
    </row>
    <row r="285" spans="2:22" ht="15">
      <c r="B285" s="44">
        <v>615.25</v>
      </c>
      <c r="C285" s="44">
        <v>616.48</v>
      </c>
      <c r="D285" s="44">
        <v>613.02</v>
      </c>
      <c r="E285" s="44">
        <v>616.41</v>
      </c>
      <c r="F285" s="44">
        <v>7036646</v>
      </c>
      <c r="G285" s="44" t="s">
        <v>1618</v>
      </c>
      <c r="H285" s="25">
        <f t="shared" si="6"/>
        <v>-1.8818643435375426E-3</v>
      </c>
      <c r="J285" s="44">
        <v>443.01</v>
      </c>
      <c r="K285" s="44">
        <v>443.36</v>
      </c>
      <c r="L285" s="44">
        <v>433</v>
      </c>
      <c r="M285" s="44">
        <v>437.12</v>
      </c>
      <c r="N285" s="44">
        <v>1907513</v>
      </c>
      <c r="O285" s="44" t="s">
        <v>1618</v>
      </c>
      <c r="P285" s="25">
        <f t="shared" si="7"/>
        <v>1.3474560761346899E-2</v>
      </c>
      <c r="R285" s="51">
        <v>1.1000000000000031E-2</v>
      </c>
      <c r="S285">
        <v>28</v>
      </c>
      <c r="U285" s="50">
        <f t="shared" si="4"/>
        <v>1.000000000000003E-2</v>
      </c>
      <c r="V285" s="54">
        <f t="shared" si="5"/>
        <v>19.926945863108749</v>
      </c>
    </row>
    <row r="286" spans="2:22" ht="15">
      <c r="B286" s="44">
        <v>614.57000000000005</v>
      </c>
      <c r="C286" s="44">
        <v>615.39</v>
      </c>
      <c r="D286" s="44">
        <v>609.57000000000005</v>
      </c>
      <c r="E286" s="44">
        <v>609.70000000000005</v>
      </c>
      <c r="F286" s="44">
        <v>9753029</v>
      </c>
      <c r="G286" s="44" t="s">
        <v>1619</v>
      </c>
      <c r="H286" s="25">
        <f t="shared" si="6"/>
        <v>7.9875348532065793E-3</v>
      </c>
      <c r="J286" s="44">
        <v>438.04</v>
      </c>
      <c r="K286" s="44">
        <v>448.31</v>
      </c>
      <c r="L286" s="44">
        <v>430.34</v>
      </c>
      <c r="M286" s="44">
        <v>447</v>
      </c>
      <c r="N286" s="44">
        <v>2494378</v>
      </c>
      <c r="O286" s="44" t="s">
        <v>1619</v>
      </c>
      <c r="P286" s="25">
        <f t="shared" si="7"/>
        <v>-2.0044742729306453E-2</v>
      </c>
      <c r="R286" s="51">
        <v>1.2000000000000031E-2</v>
      </c>
      <c r="S286">
        <v>19</v>
      </c>
      <c r="U286" s="50">
        <f t="shared" si="4"/>
        <v>1.1000000000000031E-2</v>
      </c>
      <c r="V286" s="54">
        <f t="shared" ref="V286:V317" si="8">_xlfn.NORM.DIST(U286,$T$212,$T$214,FALSE)</f>
        <v>19.234442561749887</v>
      </c>
    </row>
    <row r="287" spans="2:22" ht="15">
      <c r="B287" s="44">
        <v>612.38</v>
      </c>
      <c r="C287" s="44">
        <v>612.86</v>
      </c>
      <c r="D287" s="44">
        <v>608.27</v>
      </c>
      <c r="E287" s="44">
        <v>609.42999999999995</v>
      </c>
      <c r="F287" s="44">
        <v>6481423</v>
      </c>
      <c r="G287" s="44" t="s">
        <v>1620</v>
      </c>
      <c r="H287" s="25">
        <f t="shared" si="6"/>
        <v>4.8405887468618847E-3</v>
      </c>
      <c r="J287" s="44">
        <v>447.23</v>
      </c>
      <c r="K287" s="44">
        <v>448.19</v>
      </c>
      <c r="L287" s="44">
        <v>438</v>
      </c>
      <c r="M287" s="44">
        <v>439</v>
      </c>
      <c r="N287" s="44">
        <v>2132629</v>
      </c>
      <c r="O287" s="44" t="s">
        <v>1620</v>
      </c>
      <c r="P287" s="25">
        <f t="shared" si="7"/>
        <v>1.8747152619589924E-2</v>
      </c>
      <c r="R287" s="51">
        <v>1.3000000000000032E-2</v>
      </c>
      <c r="S287">
        <v>22</v>
      </c>
      <c r="U287" s="50">
        <f t="shared" si="4"/>
        <v>1.2000000000000031E-2</v>
      </c>
      <c r="V287" s="54">
        <f t="shared" si="8"/>
        <v>18.501874464394358</v>
      </c>
    </row>
    <row r="288" spans="2:22" ht="15">
      <c r="B288" s="44">
        <v>610.13</v>
      </c>
      <c r="C288" s="44">
        <v>611.67999999999995</v>
      </c>
      <c r="D288" s="44">
        <v>608.48</v>
      </c>
      <c r="E288" s="44">
        <v>610.79</v>
      </c>
      <c r="F288" s="44">
        <v>5658835</v>
      </c>
      <c r="G288" s="44" t="s">
        <v>1621</v>
      </c>
      <c r="H288" s="25">
        <f t="shared" si="6"/>
        <v>-1.0805677892564702E-3</v>
      </c>
      <c r="J288" s="44">
        <v>439.22</v>
      </c>
      <c r="K288" s="44">
        <v>443.26</v>
      </c>
      <c r="L288" s="44">
        <v>437.76499999999999</v>
      </c>
      <c r="M288" s="44">
        <v>442.06</v>
      </c>
      <c r="N288" s="44">
        <v>3024768</v>
      </c>
      <c r="O288" s="44" t="s">
        <v>1621</v>
      </c>
      <c r="P288" s="25">
        <f t="shared" si="7"/>
        <v>-6.4244672668868352E-3</v>
      </c>
      <c r="R288" s="51">
        <v>1.4000000000000033E-2</v>
      </c>
      <c r="S288">
        <v>26</v>
      </c>
      <c r="U288" s="50">
        <f t="shared" si="4"/>
        <v>1.3000000000000032E-2</v>
      </c>
      <c r="V288" s="54">
        <f t="shared" si="8"/>
        <v>17.735731991779137</v>
      </c>
    </row>
    <row r="289" spans="2:22" ht="15">
      <c r="B289" s="44">
        <v>610.16</v>
      </c>
      <c r="C289" s="44">
        <v>610.70000000000005</v>
      </c>
      <c r="D289" s="44">
        <v>606.56500000000005</v>
      </c>
      <c r="E289" s="44">
        <v>608.03</v>
      </c>
      <c r="F289" s="44">
        <v>6438634</v>
      </c>
      <c r="G289" s="44" t="s">
        <v>1622</v>
      </c>
      <c r="H289" s="25">
        <f t="shared" si="6"/>
        <v>3.5031166225349963E-3</v>
      </c>
      <c r="J289" s="44">
        <v>441.12</v>
      </c>
      <c r="K289" s="44">
        <v>443.45499999999998</v>
      </c>
      <c r="L289" s="44">
        <v>438.5</v>
      </c>
      <c r="M289" s="44">
        <v>441.43</v>
      </c>
      <c r="N289" s="44">
        <v>1940782</v>
      </c>
      <c r="O289" s="44" t="s">
        <v>1622</v>
      </c>
      <c r="P289" s="25">
        <f t="shared" si="7"/>
        <v>-7.0226309947218901E-4</v>
      </c>
      <c r="R289" s="51">
        <v>1.5000000000000034E-2</v>
      </c>
      <c r="S289">
        <v>19</v>
      </c>
      <c r="U289" s="50">
        <f t="shared" si="4"/>
        <v>1.4000000000000033E-2</v>
      </c>
      <c r="V289" s="54">
        <f t="shared" si="8"/>
        <v>16.942588659811562</v>
      </c>
    </row>
    <row r="290" spans="2:22" ht="15">
      <c r="B290" s="44">
        <v>606.59</v>
      </c>
      <c r="C290" s="44">
        <v>607.92999999999995</v>
      </c>
      <c r="D290" s="44">
        <v>603.35</v>
      </c>
      <c r="E290" s="44">
        <v>606.62</v>
      </c>
      <c r="F290" s="44">
        <v>6927746</v>
      </c>
      <c r="G290" s="44" t="s">
        <v>1623</v>
      </c>
      <c r="H290" s="25">
        <f t="shared" si="6"/>
        <v>-4.9454353631572801E-5</v>
      </c>
      <c r="J290" s="44">
        <v>438.12</v>
      </c>
      <c r="K290" s="44">
        <v>442.17</v>
      </c>
      <c r="L290" s="44">
        <v>433.43</v>
      </c>
      <c r="M290" s="44">
        <v>440.39</v>
      </c>
      <c r="N290" s="44">
        <v>3126475</v>
      </c>
      <c r="O290" s="44" t="s">
        <v>1623</v>
      </c>
      <c r="P290" s="25">
        <f t="shared" si="7"/>
        <v>-5.1545221281136255E-3</v>
      </c>
      <c r="R290" s="51">
        <v>1.6000000000000035E-2</v>
      </c>
      <c r="S290">
        <v>14</v>
      </c>
      <c r="U290" s="50">
        <f t="shared" si="4"/>
        <v>1.5000000000000034E-2</v>
      </c>
      <c r="V290" s="54">
        <f t="shared" si="8"/>
        <v>16.12900878592157</v>
      </c>
    </row>
    <row r="291" spans="2:22" ht="15">
      <c r="B291" s="44">
        <v>609.5</v>
      </c>
      <c r="C291" s="44">
        <v>612.74</v>
      </c>
      <c r="D291" s="44">
        <v>608.19000000000005</v>
      </c>
      <c r="E291" s="44">
        <v>612.63</v>
      </c>
      <c r="F291" s="44">
        <v>23764079</v>
      </c>
      <c r="G291" s="44" t="s">
        <v>1624</v>
      </c>
      <c r="H291" s="25">
        <f t="shared" si="6"/>
        <v>-5.1091196970438624E-3</v>
      </c>
      <c r="J291" s="44">
        <v>443.99</v>
      </c>
      <c r="K291" s="44">
        <v>451.33730000000003</v>
      </c>
      <c r="L291" s="44">
        <v>443.55</v>
      </c>
      <c r="M291" s="44">
        <v>450.94</v>
      </c>
      <c r="N291" s="44">
        <v>2348978</v>
      </c>
      <c r="O291" s="44" t="s">
        <v>1624</v>
      </c>
      <c r="P291" s="25">
        <f t="shared" si="7"/>
        <v>-1.541224996673618E-2</v>
      </c>
      <c r="R291" s="51">
        <v>1.7000000000000036E-2</v>
      </c>
      <c r="S291">
        <v>13</v>
      </c>
      <c r="U291" s="50">
        <f t="shared" si="4"/>
        <v>1.6000000000000035E-2</v>
      </c>
      <c r="V291" s="54">
        <f t="shared" si="8"/>
        <v>15.301459319725687</v>
      </c>
    </row>
    <row r="292" spans="2:22" ht="15">
      <c r="B292" s="44">
        <v>611.54</v>
      </c>
      <c r="C292" s="44">
        <v>615.26</v>
      </c>
      <c r="D292" s="44">
        <v>610.34100000000001</v>
      </c>
      <c r="E292" s="44">
        <v>614.70500000000004</v>
      </c>
      <c r="F292" s="44">
        <v>10728553</v>
      </c>
      <c r="G292" s="44" t="s">
        <v>1625</v>
      </c>
      <c r="H292" s="25">
        <f t="shared" si="6"/>
        <v>-5.148811218389393E-3</v>
      </c>
      <c r="J292" s="44">
        <v>447.75</v>
      </c>
      <c r="K292" s="44">
        <v>450.98500000000001</v>
      </c>
      <c r="L292" s="44">
        <v>443.17</v>
      </c>
      <c r="M292" s="44">
        <v>444.75</v>
      </c>
      <c r="N292" s="44">
        <v>2229397</v>
      </c>
      <c r="O292" s="44" t="s">
        <v>1625</v>
      </c>
      <c r="P292" s="25">
        <f t="shared" si="7"/>
        <v>6.7453625632378778E-3</v>
      </c>
      <c r="R292" s="51">
        <v>1.8000000000000037E-2</v>
      </c>
      <c r="S292">
        <v>21</v>
      </c>
      <c r="U292" s="50">
        <f t="shared" si="4"/>
        <v>1.7000000000000036E-2</v>
      </c>
      <c r="V292" s="54">
        <f t="shared" si="8"/>
        <v>14.466227396506969</v>
      </c>
    </row>
    <row r="293" spans="2:22" ht="15">
      <c r="B293" s="44">
        <v>614.76</v>
      </c>
      <c r="C293" s="44">
        <v>615.22</v>
      </c>
      <c r="D293" s="44">
        <v>610.51</v>
      </c>
      <c r="E293" s="44">
        <v>610.52</v>
      </c>
      <c r="F293" s="44">
        <v>11551587</v>
      </c>
      <c r="G293" s="44" t="s">
        <v>1626</v>
      </c>
      <c r="H293" s="25">
        <f t="shared" si="6"/>
        <v>6.9448994299941003E-3</v>
      </c>
      <c r="J293" s="44">
        <v>444.55</v>
      </c>
      <c r="K293" s="44">
        <v>447.13</v>
      </c>
      <c r="L293" s="44">
        <v>433.81</v>
      </c>
      <c r="M293" s="44">
        <v>438.12</v>
      </c>
      <c r="N293" s="44">
        <v>2631022</v>
      </c>
      <c r="O293" s="44" t="s">
        <v>1626</v>
      </c>
      <c r="P293" s="25">
        <f t="shared" si="7"/>
        <v>1.4676344380535111E-2</v>
      </c>
      <c r="R293" s="51">
        <v>1.9000000000000038E-2</v>
      </c>
      <c r="S293">
        <v>18</v>
      </c>
      <c r="U293" s="50">
        <f t="shared" si="4"/>
        <v>1.8000000000000037E-2</v>
      </c>
      <c r="V293" s="54">
        <f t="shared" si="8"/>
        <v>13.629345003238749</v>
      </c>
    </row>
    <row r="294" spans="2:22" ht="15">
      <c r="B294" s="44">
        <v>611.78</v>
      </c>
      <c r="C294" s="44">
        <v>612.66999999999996</v>
      </c>
      <c r="D294" s="44">
        <v>608.85</v>
      </c>
      <c r="E294" s="44">
        <v>610.62</v>
      </c>
      <c r="F294" s="44">
        <v>6065655</v>
      </c>
      <c r="G294" s="44" t="s">
        <v>1627</v>
      </c>
      <c r="H294" s="25">
        <f t="shared" si="6"/>
        <v>1.899708493007024E-3</v>
      </c>
      <c r="J294" s="44">
        <v>438.72</v>
      </c>
      <c r="K294" s="44">
        <v>440.5</v>
      </c>
      <c r="L294" s="44">
        <v>434.74</v>
      </c>
      <c r="M294" s="44">
        <v>439.46</v>
      </c>
      <c r="N294" s="44">
        <v>3780685</v>
      </c>
      <c r="O294" s="44" t="s">
        <v>1627</v>
      </c>
      <c r="P294" s="25">
        <f t="shared" si="7"/>
        <v>-1.6838847676693414E-3</v>
      </c>
      <c r="R294" s="51">
        <v>2.0000000000000039E-2</v>
      </c>
      <c r="S294">
        <v>16</v>
      </c>
      <c r="U294" s="50">
        <f t="shared" si="4"/>
        <v>1.9000000000000038E-2</v>
      </c>
      <c r="V294" s="54">
        <f t="shared" si="8"/>
        <v>12.796521910749213</v>
      </c>
    </row>
    <row r="295" spans="2:22" ht="15">
      <c r="B295" s="44">
        <v>608.94000000000005</v>
      </c>
      <c r="C295" s="44">
        <v>611.30999999999995</v>
      </c>
      <c r="D295" s="44">
        <v>607.07000000000005</v>
      </c>
      <c r="E295" s="44">
        <v>608.54999999999995</v>
      </c>
      <c r="F295" s="44">
        <v>11029230</v>
      </c>
      <c r="G295" s="44" t="s">
        <v>1628</v>
      </c>
      <c r="H295" s="25">
        <f t="shared" si="6"/>
        <v>6.4086763618442788E-4</v>
      </c>
      <c r="J295" s="44">
        <v>435.83</v>
      </c>
      <c r="K295" s="44">
        <v>436.33</v>
      </c>
      <c r="L295" s="44">
        <v>429.8</v>
      </c>
      <c r="M295" s="44">
        <v>435</v>
      </c>
      <c r="N295" s="44">
        <v>1928915</v>
      </c>
      <c r="O295" s="44" t="s">
        <v>1628</v>
      </c>
      <c r="P295" s="25">
        <f t="shared" si="7"/>
        <v>1.9080459770115521E-3</v>
      </c>
      <c r="R295" s="51">
        <v>2.1000000000000039E-2</v>
      </c>
      <c r="S295">
        <v>13</v>
      </c>
      <c r="U295" s="50">
        <f t="shared" si="4"/>
        <v>2.0000000000000039E-2</v>
      </c>
      <c r="V295" s="54">
        <f t="shared" si="8"/>
        <v>11.973087770624835</v>
      </c>
    </row>
    <row r="296" spans="2:22" ht="15">
      <c r="B296" s="44">
        <v>606.09</v>
      </c>
      <c r="C296" s="44">
        <v>608.33000000000004</v>
      </c>
      <c r="D296" s="44">
        <v>601.54999999999995</v>
      </c>
      <c r="E296" s="44">
        <v>606.84</v>
      </c>
      <c r="F296" s="44">
        <v>11613628</v>
      </c>
      <c r="G296" s="44" t="s">
        <v>1629</v>
      </c>
      <c r="H296" s="25">
        <f t="shared" si="6"/>
        <v>-1.2359106189440139E-3</v>
      </c>
      <c r="J296" s="44">
        <v>433.66</v>
      </c>
      <c r="K296" s="44">
        <v>438.78500000000003</v>
      </c>
      <c r="L296" s="44">
        <v>430.59</v>
      </c>
      <c r="M296" s="44">
        <v>434.6</v>
      </c>
      <c r="N296" s="44">
        <v>1638227</v>
      </c>
      <c r="O296" s="44" t="s">
        <v>1629</v>
      </c>
      <c r="P296" s="25">
        <f t="shared" si="7"/>
        <v>-2.1629084215369909E-3</v>
      </c>
      <c r="R296" s="51">
        <v>2.200000000000004E-2</v>
      </c>
      <c r="S296">
        <v>7</v>
      </c>
      <c r="U296" s="50">
        <f t="shared" si="4"/>
        <v>2.1000000000000039E-2</v>
      </c>
      <c r="V296" s="54">
        <f t="shared" si="8"/>
        <v>11.163944010266357</v>
      </c>
    </row>
    <row r="297" spans="2:22" ht="15">
      <c r="B297" s="44">
        <v>606.79</v>
      </c>
      <c r="C297" s="44">
        <v>608.41999999999996</v>
      </c>
      <c r="D297" s="44">
        <v>606.06089999999995</v>
      </c>
      <c r="E297" s="44">
        <v>608.16</v>
      </c>
      <c r="F297" s="44">
        <v>6367152</v>
      </c>
      <c r="G297" s="44" t="s">
        <v>1630</v>
      </c>
      <c r="H297" s="25">
        <f t="shared" si="6"/>
        <v>-2.2526966587740338E-3</v>
      </c>
      <c r="J297" s="44">
        <v>434.5</v>
      </c>
      <c r="K297" s="44">
        <v>437.17</v>
      </c>
      <c r="L297" s="44">
        <v>429.72</v>
      </c>
      <c r="M297" s="44">
        <v>433.65</v>
      </c>
      <c r="N297" s="44">
        <v>2936019</v>
      </c>
      <c r="O297" s="44" t="s">
        <v>1630</v>
      </c>
      <c r="P297" s="25">
        <f t="shared" si="7"/>
        <v>1.9601060763287936E-3</v>
      </c>
      <c r="R297" s="51">
        <v>2.3000000000000041E-2</v>
      </c>
      <c r="S297">
        <v>5</v>
      </c>
      <c r="U297" s="50">
        <f t="shared" si="4"/>
        <v>2.200000000000004E-2</v>
      </c>
      <c r="V297" s="54">
        <f t="shared" si="8"/>
        <v>10.373525892694602</v>
      </c>
    </row>
    <row r="298" spans="2:22" ht="15">
      <c r="B298" s="44">
        <v>607.59</v>
      </c>
      <c r="C298" s="44">
        <v>607.77</v>
      </c>
      <c r="D298" s="44">
        <v>606.20000000000005</v>
      </c>
      <c r="E298" s="44">
        <v>606.47</v>
      </c>
      <c r="F298" s="44">
        <v>7447134</v>
      </c>
      <c r="G298" s="44" t="s">
        <v>1631</v>
      </c>
      <c r="H298" s="25">
        <f t="shared" si="6"/>
        <v>1.8467525186736111E-3</v>
      </c>
      <c r="J298" s="44">
        <v>433.99</v>
      </c>
      <c r="K298" s="44">
        <v>450.58</v>
      </c>
      <c r="L298" s="44">
        <v>433.02</v>
      </c>
      <c r="M298" s="44">
        <v>449.29</v>
      </c>
      <c r="N298" s="44">
        <v>3468174</v>
      </c>
      <c r="O298" s="44" t="s">
        <v>1631</v>
      </c>
      <c r="P298" s="25">
        <f t="shared" si="7"/>
        <v>-3.4053729217209394E-2</v>
      </c>
      <c r="R298" s="51">
        <v>2.4000000000000042E-2</v>
      </c>
      <c r="S298">
        <v>7</v>
      </c>
      <c r="U298" s="50">
        <f t="shared" si="4"/>
        <v>2.3000000000000041E-2</v>
      </c>
      <c r="V298" s="54">
        <f t="shared" si="8"/>
        <v>9.6057748473663693</v>
      </c>
    </row>
    <row r="299" spans="2:22" ht="15">
      <c r="B299" s="44">
        <v>604.44000000000005</v>
      </c>
      <c r="C299" s="44">
        <v>605.98</v>
      </c>
      <c r="D299" s="44">
        <v>603.95000000000005</v>
      </c>
      <c r="E299" s="44">
        <v>604.59</v>
      </c>
      <c r="F299" s="44">
        <v>8108692</v>
      </c>
      <c r="G299" s="44" t="s">
        <v>1632</v>
      </c>
      <c r="H299" s="25">
        <f t="shared" si="6"/>
        <v>-2.4810201955038913E-4</v>
      </c>
      <c r="J299" s="44">
        <v>449.68</v>
      </c>
      <c r="K299" s="44">
        <v>454.15</v>
      </c>
      <c r="L299" s="44">
        <v>448.15</v>
      </c>
      <c r="M299" s="44">
        <v>453.19</v>
      </c>
      <c r="N299" s="44">
        <v>2217254</v>
      </c>
      <c r="O299" s="44" t="s">
        <v>1632</v>
      </c>
      <c r="P299" s="25">
        <f t="shared" si="7"/>
        <v>-7.7450958759018862E-3</v>
      </c>
      <c r="R299" s="51">
        <v>2.5000000000000043E-2</v>
      </c>
      <c r="S299">
        <v>5</v>
      </c>
      <c r="U299" s="50">
        <f t="shared" si="4"/>
        <v>2.4000000000000042E-2</v>
      </c>
      <c r="V299" s="54">
        <f t="shared" si="8"/>
        <v>8.8641209318070882</v>
      </c>
    </row>
    <row r="300" spans="2:22" ht="15">
      <c r="B300" s="44">
        <v>604.57000000000005</v>
      </c>
      <c r="C300" s="44">
        <v>605.23</v>
      </c>
      <c r="D300" s="44">
        <v>600.89</v>
      </c>
      <c r="E300" s="44">
        <v>601.42999999999995</v>
      </c>
      <c r="F300" s="44">
        <v>9086806</v>
      </c>
      <c r="G300" s="44" t="s">
        <v>1633</v>
      </c>
      <c r="H300" s="25">
        <f t="shared" si="6"/>
        <v>5.2208902116623879E-3</v>
      </c>
      <c r="J300" s="44">
        <v>455.85</v>
      </c>
      <c r="K300" s="44">
        <v>463.05</v>
      </c>
      <c r="L300" s="44">
        <v>449.75</v>
      </c>
      <c r="M300" s="44">
        <v>451.15499999999997</v>
      </c>
      <c r="N300" s="44">
        <v>2177198</v>
      </c>
      <c r="O300" s="44" t="s">
        <v>1633</v>
      </c>
      <c r="P300" s="25">
        <f t="shared" si="7"/>
        <v>1.0406623000964288E-2</v>
      </c>
      <c r="R300" s="51">
        <v>2.6000000000000044E-2</v>
      </c>
      <c r="S300">
        <v>6</v>
      </c>
      <c r="U300" s="50">
        <f t="shared" ref="U300:U328" si="9">U299+0.001</f>
        <v>2.5000000000000043E-2</v>
      </c>
      <c r="V300" s="54">
        <f t="shared" si="8"/>
        <v>8.1514750577614024</v>
      </c>
    </row>
    <row r="301" spans="2:22" ht="15">
      <c r="B301" s="44">
        <v>599.67999999999995</v>
      </c>
      <c r="C301" s="44">
        <v>601.75</v>
      </c>
      <c r="D301" s="44">
        <v>598.16</v>
      </c>
      <c r="E301" s="44">
        <v>600.91999999999996</v>
      </c>
      <c r="F301" s="44">
        <v>21542357</v>
      </c>
      <c r="G301" s="44" t="s">
        <v>1634</v>
      </c>
      <c r="H301" s="25">
        <f t="shared" si="6"/>
        <v>-2.0635026293017722E-3</v>
      </c>
      <c r="J301" s="44">
        <v>449.98</v>
      </c>
      <c r="K301" s="44">
        <v>468.04</v>
      </c>
      <c r="L301" s="44">
        <v>446.53</v>
      </c>
      <c r="M301" s="44">
        <v>467.99</v>
      </c>
      <c r="N301" s="44">
        <v>2557269</v>
      </c>
      <c r="O301" s="44" t="s">
        <v>1634</v>
      </c>
      <c r="P301" s="25">
        <f t="shared" si="7"/>
        <v>-3.8483728284792407E-2</v>
      </c>
      <c r="R301" s="51">
        <v>2.7000000000000045E-2</v>
      </c>
      <c r="S301">
        <v>3</v>
      </c>
      <c r="U301" s="50">
        <f t="shared" si="9"/>
        <v>2.6000000000000044E-2</v>
      </c>
      <c r="V301" s="54">
        <f t="shared" si="8"/>
        <v>7.4702304151597643</v>
      </c>
    </row>
    <row r="302" spans="2:22" ht="15">
      <c r="B302" s="44">
        <v>597.95000000000005</v>
      </c>
      <c r="C302" s="44">
        <v>598.37</v>
      </c>
      <c r="D302" s="44">
        <v>595.01</v>
      </c>
      <c r="E302" s="44">
        <v>596.61</v>
      </c>
      <c r="F302" s="44">
        <v>7780114</v>
      </c>
      <c r="G302" s="44" t="s">
        <v>1635</v>
      </c>
      <c r="H302" s="25">
        <f t="shared" si="6"/>
        <v>2.2460233653476269E-3</v>
      </c>
      <c r="J302" s="44">
        <v>467.54</v>
      </c>
      <c r="K302" s="44">
        <v>472.69</v>
      </c>
      <c r="L302" s="44">
        <v>464.36</v>
      </c>
      <c r="M302" s="44">
        <v>470</v>
      </c>
      <c r="N302" s="44">
        <v>1478315</v>
      </c>
      <c r="O302" s="44" t="s">
        <v>1635</v>
      </c>
      <c r="P302" s="25">
        <f t="shared" si="7"/>
        <v>-5.2340425531914869E-3</v>
      </c>
      <c r="R302" s="51">
        <v>2.8000000000000046E-2</v>
      </c>
      <c r="S302">
        <v>10</v>
      </c>
      <c r="U302" s="50">
        <f t="shared" si="9"/>
        <v>2.7000000000000045E-2</v>
      </c>
      <c r="V302" s="54">
        <f t="shared" si="8"/>
        <v>6.8222723566220287</v>
      </c>
    </row>
    <row r="303" spans="2:22" ht="15">
      <c r="B303" s="44">
        <v>596.5</v>
      </c>
      <c r="C303" s="44">
        <v>597.41</v>
      </c>
      <c r="D303" s="44">
        <v>595.03</v>
      </c>
      <c r="E303" s="44">
        <v>596.30999999999995</v>
      </c>
      <c r="F303" s="44">
        <v>9448293</v>
      </c>
      <c r="G303" s="44" t="s">
        <v>1636</v>
      </c>
      <c r="H303" s="25">
        <f t="shared" si="6"/>
        <v>3.1862621790690326E-4</v>
      </c>
      <c r="J303" s="44">
        <v>470</v>
      </c>
      <c r="K303" s="44">
        <v>470.28</v>
      </c>
      <c r="L303" s="44">
        <v>462.62</v>
      </c>
      <c r="M303" s="44">
        <v>466.7</v>
      </c>
      <c r="N303" s="44">
        <v>1854085</v>
      </c>
      <c r="O303" s="44" t="s">
        <v>1636</v>
      </c>
      <c r="P303" s="25">
        <f t="shared" si="7"/>
        <v>7.0709235054640107E-3</v>
      </c>
      <c r="R303" s="51">
        <v>2.9000000000000047E-2</v>
      </c>
      <c r="S303">
        <v>2</v>
      </c>
      <c r="U303" s="50">
        <f t="shared" si="9"/>
        <v>2.8000000000000046E-2</v>
      </c>
      <c r="V303" s="54">
        <f t="shared" si="8"/>
        <v>6.2089958672992616</v>
      </c>
    </row>
    <row r="304" spans="2:22" ht="15">
      <c r="B304" s="44">
        <v>594.96</v>
      </c>
      <c r="C304" s="44">
        <v>599.6</v>
      </c>
      <c r="D304" s="44">
        <v>591.45000000000005</v>
      </c>
      <c r="E304" s="44">
        <v>598.91</v>
      </c>
      <c r="F304" s="44">
        <v>6622130</v>
      </c>
      <c r="G304" s="44" t="s">
        <v>1637</v>
      </c>
      <c r="H304" s="25">
        <f t="shared" si="6"/>
        <v>-6.5953148219264346E-3</v>
      </c>
      <c r="J304" s="44">
        <v>466.86</v>
      </c>
      <c r="K304" s="44">
        <v>467.99</v>
      </c>
      <c r="L304" s="44">
        <v>454.78</v>
      </c>
      <c r="M304" s="44">
        <v>454.83</v>
      </c>
      <c r="N304" s="44">
        <v>2427860</v>
      </c>
      <c r="O304" s="44" t="s">
        <v>1637</v>
      </c>
      <c r="P304" s="25">
        <f t="shared" si="7"/>
        <v>2.6449442648901922E-2</v>
      </c>
      <c r="R304" s="51">
        <v>3.0000000000000047E-2</v>
      </c>
      <c r="S304">
        <v>5</v>
      </c>
      <c r="U304" s="50">
        <f t="shared" si="9"/>
        <v>2.9000000000000047E-2</v>
      </c>
      <c r="V304" s="54">
        <f t="shared" si="8"/>
        <v>5.6313296411272047</v>
      </c>
    </row>
    <row r="305" spans="2:22" ht="15">
      <c r="B305" s="44">
        <v>596.59</v>
      </c>
      <c r="C305" s="44">
        <v>596.77</v>
      </c>
      <c r="D305" s="44">
        <v>591.6</v>
      </c>
      <c r="E305" s="44">
        <v>592.47</v>
      </c>
      <c r="F305" s="44">
        <v>8012477</v>
      </c>
      <c r="G305" s="44" t="s">
        <v>1638</v>
      </c>
      <c r="H305" s="25">
        <f t="shared" si="6"/>
        <v>6.9539385960470934E-3</v>
      </c>
      <c r="J305" s="44">
        <v>454.52</v>
      </c>
      <c r="K305" s="44">
        <v>455.28</v>
      </c>
      <c r="L305" s="44">
        <v>437.41</v>
      </c>
      <c r="M305" s="44">
        <v>440.69</v>
      </c>
      <c r="N305" s="44">
        <v>3924979</v>
      </c>
      <c r="O305" s="44" t="s">
        <v>1638</v>
      </c>
      <c r="P305" s="25">
        <f t="shared" si="7"/>
        <v>3.138260455195252E-2</v>
      </c>
      <c r="R305" s="51">
        <v>3.1000000000000048E-2</v>
      </c>
      <c r="S305">
        <v>3</v>
      </c>
      <c r="U305" s="50">
        <f t="shared" si="9"/>
        <v>3.0000000000000047E-2</v>
      </c>
      <c r="V305" s="54">
        <f t="shared" si="8"/>
        <v>5.0897657153118194</v>
      </c>
    </row>
    <row r="306" spans="2:22" ht="15">
      <c r="B306" s="44">
        <v>591.72</v>
      </c>
      <c r="C306" s="44">
        <v>592.23</v>
      </c>
      <c r="D306" s="44">
        <v>588.78</v>
      </c>
      <c r="E306" s="44">
        <v>590.80999999999995</v>
      </c>
      <c r="F306" s="44">
        <v>6669875</v>
      </c>
      <c r="G306" s="44" t="s">
        <v>1639</v>
      </c>
      <c r="H306" s="25">
        <f t="shared" si="6"/>
        <v>1.5402582894672445E-3</v>
      </c>
      <c r="J306" s="44">
        <v>441.18</v>
      </c>
      <c r="K306" s="44">
        <v>471</v>
      </c>
      <c r="L306" s="44">
        <v>434.8</v>
      </c>
      <c r="M306" s="44">
        <v>470.11</v>
      </c>
      <c r="N306" s="44">
        <v>4910417</v>
      </c>
      <c r="O306" s="44" t="s">
        <v>1639</v>
      </c>
      <c r="P306" s="25">
        <f t="shared" si="7"/>
        <v>-6.1538788794112009E-2</v>
      </c>
      <c r="R306" s="51">
        <v>3.2000000000000049E-2</v>
      </c>
      <c r="S306">
        <v>5</v>
      </c>
      <c r="U306" s="50">
        <f t="shared" si="9"/>
        <v>3.1000000000000048E-2</v>
      </c>
      <c r="V306" s="54">
        <f t="shared" si="8"/>
        <v>4.5843935792133159</v>
      </c>
    </row>
    <row r="307" spans="2:22" ht="15">
      <c r="B307" s="44">
        <v>588.71</v>
      </c>
      <c r="C307" s="44">
        <v>588.79999999999995</v>
      </c>
      <c r="D307" s="44">
        <v>583.66999999999996</v>
      </c>
      <c r="E307" s="44">
        <v>586.05999999999995</v>
      </c>
      <c r="F307" s="44">
        <v>11063662</v>
      </c>
      <c r="G307" s="44" t="s">
        <v>1640</v>
      </c>
      <c r="H307" s="25">
        <f t="shared" si="6"/>
        <v>4.5217213254618027E-3</v>
      </c>
      <c r="J307" s="44">
        <v>469.07</v>
      </c>
      <c r="K307" s="44">
        <v>472.565</v>
      </c>
      <c r="L307" s="44">
        <v>464.75</v>
      </c>
      <c r="M307" s="44">
        <v>470.56</v>
      </c>
      <c r="N307" s="44">
        <v>2214753</v>
      </c>
      <c r="O307" s="44" t="s">
        <v>1640</v>
      </c>
      <c r="P307" s="25">
        <f t="shared" si="7"/>
        <v>-3.1664399863992054E-3</v>
      </c>
      <c r="R307" s="51">
        <v>3.300000000000005E-2</v>
      </c>
      <c r="S307">
        <v>2</v>
      </c>
      <c r="U307" s="50">
        <f t="shared" si="9"/>
        <v>3.2000000000000049E-2</v>
      </c>
      <c r="V307" s="54">
        <f t="shared" si="8"/>
        <v>4.1149376698345623</v>
      </c>
    </row>
    <row r="308" spans="2:22" ht="15">
      <c r="B308" s="44">
        <v>593.08000000000004</v>
      </c>
      <c r="C308" s="44">
        <v>595.54999999999995</v>
      </c>
      <c r="D308" s="44">
        <v>591.245</v>
      </c>
      <c r="E308" s="44">
        <v>595.24</v>
      </c>
      <c r="F308" s="44">
        <v>7480746</v>
      </c>
      <c r="G308" s="44" t="s">
        <v>1641</v>
      </c>
      <c r="H308" s="25">
        <f t="shared" si="6"/>
        <v>-3.6287883878770577E-3</v>
      </c>
      <c r="J308" s="44">
        <v>473.29500000000002</v>
      </c>
      <c r="K308" s="44">
        <v>475.4</v>
      </c>
      <c r="L308" s="44">
        <v>468.77499999999998</v>
      </c>
      <c r="M308" s="44">
        <v>474.23</v>
      </c>
      <c r="N308" s="44">
        <v>1639883</v>
      </c>
      <c r="O308" s="44" t="s">
        <v>1641</v>
      </c>
      <c r="P308" s="25">
        <f t="shared" si="7"/>
        <v>-1.9716171477974775E-3</v>
      </c>
      <c r="R308" s="51">
        <v>3.4000000000000051E-2</v>
      </c>
      <c r="S308">
        <v>3</v>
      </c>
      <c r="U308" s="50">
        <f t="shared" si="9"/>
        <v>3.300000000000005E-2</v>
      </c>
      <c r="V308" s="54">
        <f t="shared" si="8"/>
        <v>3.6807971910783581</v>
      </c>
    </row>
    <row r="309" spans="2:22" ht="15">
      <c r="B309" s="44">
        <v>596.52</v>
      </c>
      <c r="C309" s="44">
        <v>597.07000000000005</v>
      </c>
      <c r="D309" s="44">
        <v>593.27</v>
      </c>
      <c r="E309" s="44">
        <v>595.07000000000005</v>
      </c>
      <c r="F309" s="44">
        <v>5037983</v>
      </c>
      <c r="G309" s="44" t="s">
        <v>1642</v>
      </c>
      <c r="H309" s="25">
        <f t="shared" si="6"/>
        <v>2.4366881207251723E-3</v>
      </c>
      <c r="J309" s="44">
        <v>473.84</v>
      </c>
      <c r="K309" s="44">
        <v>474.24</v>
      </c>
      <c r="L309" s="44">
        <v>468</v>
      </c>
      <c r="M309" s="44">
        <v>470.86</v>
      </c>
      <c r="N309" s="44">
        <v>1519528</v>
      </c>
      <c r="O309" s="44" t="s">
        <v>1642</v>
      </c>
      <c r="P309" s="25">
        <f t="shared" si="7"/>
        <v>6.3288450919594119E-3</v>
      </c>
      <c r="R309" s="51">
        <v>3.5000000000000052E-2</v>
      </c>
      <c r="S309">
        <v>2</v>
      </c>
      <c r="U309" s="50">
        <f t="shared" si="9"/>
        <v>3.4000000000000051E-2</v>
      </c>
      <c r="V309" s="54">
        <f t="shared" si="8"/>
        <v>3.2810872443503754</v>
      </c>
    </row>
    <row r="310" spans="2:22" ht="15">
      <c r="B310" s="44">
        <v>594.41999999999996</v>
      </c>
      <c r="C310" s="44">
        <v>595.14</v>
      </c>
      <c r="D310" s="44">
        <v>592.44000000000005</v>
      </c>
      <c r="E310" s="44">
        <v>592.52</v>
      </c>
      <c r="F310" s="44">
        <v>6089564</v>
      </c>
      <c r="G310" s="44" t="s">
        <v>1643</v>
      </c>
      <c r="H310" s="25">
        <f t="shared" si="6"/>
        <v>3.20664281374472E-3</v>
      </c>
      <c r="J310" s="44">
        <v>471.15</v>
      </c>
      <c r="K310" s="44">
        <v>475.59829999999999</v>
      </c>
      <c r="L310" s="44">
        <v>470.13</v>
      </c>
      <c r="M310" s="44">
        <v>471.35</v>
      </c>
      <c r="N310" s="44">
        <v>1573005</v>
      </c>
      <c r="O310" s="44" t="s">
        <v>1643</v>
      </c>
      <c r="P310" s="25">
        <f t="shared" si="7"/>
        <v>-4.2431314309965273E-4</v>
      </c>
      <c r="R310" s="51">
        <v>3.6000000000000053E-2</v>
      </c>
      <c r="S310">
        <v>3</v>
      </c>
      <c r="U310" s="50">
        <f t="shared" si="9"/>
        <v>3.5000000000000052E-2</v>
      </c>
      <c r="V310" s="54">
        <f t="shared" si="8"/>
        <v>2.9146803299853197</v>
      </c>
    </row>
    <row r="311" spans="2:22" ht="15">
      <c r="B311" s="44">
        <v>593.05999999999995</v>
      </c>
      <c r="C311" s="44">
        <v>593.42999999999995</v>
      </c>
      <c r="D311" s="44">
        <v>589.79499999999996</v>
      </c>
      <c r="E311" s="44">
        <v>590.38</v>
      </c>
      <c r="F311" s="44">
        <v>4746851</v>
      </c>
      <c r="G311" s="44" t="s">
        <v>1644</v>
      </c>
      <c r="H311" s="25">
        <f t="shared" si="6"/>
        <v>4.5394491683321547E-3</v>
      </c>
      <c r="J311" s="44">
        <v>474.26</v>
      </c>
      <c r="K311" s="44">
        <v>474.58499999999998</v>
      </c>
      <c r="L311" s="44">
        <v>464.8</v>
      </c>
      <c r="M311" s="44">
        <v>468.64</v>
      </c>
      <c r="N311" s="44">
        <v>2929956</v>
      </c>
      <c r="O311" s="44" t="s">
        <v>1644</v>
      </c>
      <c r="P311" s="25">
        <f t="shared" si="7"/>
        <v>1.199214749061106E-2</v>
      </c>
      <c r="R311" s="51">
        <v>3.7000000000000054E-2</v>
      </c>
      <c r="S311">
        <v>3</v>
      </c>
      <c r="U311" s="50">
        <f t="shared" si="9"/>
        <v>3.6000000000000053E-2</v>
      </c>
      <c r="V311" s="54">
        <f t="shared" si="8"/>
        <v>2.5802473680883922</v>
      </c>
    </row>
    <row r="312" spans="2:22" ht="15">
      <c r="B312" s="44">
        <v>590.70000000000005</v>
      </c>
      <c r="C312" s="44">
        <v>593.22990000000004</v>
      </c>
      <c r="D312" s="44">
        <v>590.54999999999995</v>
      </c>
      <c r="E312" s="44">
        <v>592.04999999999995</v>
      </c>
      <c r="F312" s="44">
        <v>6483035</v>
      </c>
      <c r="G312" s="44" t="s">
        <v>1645</v>
      </c>
      <c r="H312" s="25">
        <f t="shared" si="6"/>
        <v>-2.2802128198630145E-3</v>
      </c>
      <c r="J312" s="44">
        <v>468.44</v>
      </c>
      <c r="K312" s="44">
        <v>477.86500000000001</v>
      </c>
      <c r="L312" s="44">
        <v>467.8</v>
      </c>
      <c r="M312" s="44">
        <v>475.25</v>
      </c>
      <c r="N312" s="44">
        <v>1662340</v>
      </c>
      <c r="O312" s="44" t="s">
        <v>1645</v>
      </c>
      <c r="P312" s="25">
        <f t="shared" si="7"/>
        <v>-1.4329300368227216E-2</v>
      </c>
      <c r="R312" s="51">
        <v>3.8000000000000055E-2</v>
      </c>
      <c r="S312">
        <v>3</v>
      </c>
      <c r="U312" s="50">
        <f t="shared" si="9"/>
        <v>3.7000000000000054E-2</v>
      </c>
      <c r="V312" s="54">
        <f t="shared" si="8"/>
        <v>2.276297489312801</v>
      </c>
    </row>
    <row r="313" spans="2:22" ht="15">
      <c r="B313" s="44">
        <v>593.21</v>
      </c>
      <c r="C313" s="44">
        <v>594.32000000000005</v>
      </c>
      <c r="D313" s="44">
        <v>585.84</v>
      </c>
      <c r="E313" s="44">
        <v>586.27</v>
      </c>
      <c r="F313" s="44">
        <v>6368542</v>
      </c>
      <c r="G313" s="44" t="s">
        <v>1646</v>
      </c>
      <c r="H313" s="25">
        <f t="shared" si="6"/>
        <v>1.1837549252051272E-2</v>
      </c>
      <c r="J313" s="44">
        <v>476.16</v>
      </c>
      <c r="K313" s="44">
        <v>478.9699</v>
      </c>
      <c r="L313" s="44">
        <v>469.84500000000003</v>
      </c>
      <c r="M313" s="44">
        <v>473</v>
      </c>
      <c r="N313" s="44">
        <v>1737247</v>
      </c>
      <c r="O313" s="44" t="s">
        <v>1646</v>
      </c>
      <c r="P313" s="25">
        <f t="shared" si="7"/>
        <v>6.6807610993657729E-3</v>
      </c>
      <c r="R313" s="51">
        <v>3.9000000000000055E-2</v>
      </c>
      <c r="S313">
        <v>2</v>
      </c>
      <c r="U313" s="50">
        <f t="shared" si="9"/>
        <v>3.8000000000000055E-2</v>
      </c>
      <c r="V313" s="54">
        <f t="shared" si="8"/>
        <v>2.0012159564838274</v>
      </c>
    </row>
    <row r="314" spans="2:22" ht="15">
      <c r="B314" s="44">
        <v>584.27</v>
      </c>
      <c r="C314" s="44">
        <v>586.46</v>
      </c>
      <c r="D314" s="44">
        <v>582.65</v>
      </c>
      <c r="E314" s="44">
        <v>584.92999999999995</v>
      </c>
      <c r="F314" s="44">
        <v>4807277</v>
      </c>
      <c r="G314" s="44" t="s">
        <v>1647</v>
      </c>
      <c r="H314" s="25">
        <f t="shared" si="6"/>
        <v>-1.1283401432649054E-3</v>
      </c>
      <c r="J314" s="44">
        <v>469.88</v>
      </c>
      <c r="K314" s="44">
        <v>479.32</v>
      </c>
      <c r="L314" s="44">
        <v>461.25</v>
      </c>
      <c r="M314" s="44">
        <v>478.22</v>
      </c>
      <c r="N314" s="44">
        <v>2465614</v>
      </c>
      <c r="O314" s="44" t="s">
        <v>1647</v>
      </c>
      <c r="P314" s="25">
        <f t="shared" si="7"/>
        <v>-1.7439672117435578E-2</v>
      </c>
      <c r="R314" s="51">
        <v>4.0000000000000056E-2</v>
      </c>
      <c r="S314">
        <v>2</v>
      </c>
      <c r="U314" s="50">
        <f t="shared" si="9"/>
        <v>3.9000000000000055E-2</v>
      </c>
      <c r="V314" s="54">
        <f t="shared" si="8"/>
        <v>1.7532996926730187</v>
      </c>
    </row>
    <row r="315" spans="2:22" ht="15">
      <c r="B315" s="44">
        <v>586.58000000000004</v>
      </c>
      <c r="C315" s="44">
        <v>588</v>
      </c>
      <c r="D315" s="44">
        <v>581.85</v>
      </c>
      <c r="E315" s="44">
        <v>587.80999999999995</v>
      </c>
      <c r="F315" s="44">
        <v>7054266</v>
      </c>
      <c r="G315" s="44" t="s">
        <v>1648</v>
      </c>
      <c r="H315" s="25">
        <f t="shared" si="6"/>
        <v>-2.0925128868169995E-3</v>
      </c>
      <c r="J315" s="44">
        <v>480.45</v>
      </c>
      <c r="K315" s="44">
        <v>483.63499999999999</v>
      </c>
      <c r="L315" s="44">
        <v>478.08</v>
      </c>
      <c r="M315" s="44">
        <v>479.39</v>
      </c>
      <c r="N315" s="44">
        <v>1403213</v>
      </c>
      <c r="O315" s="44" t="s">
        <v>1648</v>
      </c>
      <c r="P315" s="25">
        <f t="shared" si="7"/>
        <v>2.2111433279792259E-3</v>
      </c>
      <c r="R315" s="51">
        <v>4.1000000000000057E-2</v>
      </c>
      <c r="S315">
        <v>1</v>
      </c>
      <c r="U315" s="50">
        <f t="shared" si="9"/>
        <v>4.0000000000000056E-2</v>
      </c>
      <c r="V315" s="54">
        <f t="shared" si="8"/>
        <v>1.5307900064894613</v>
      </c>
    </row>
    <row r="316" spans="2:22" ht="15">
      <c r="B316" s="44">
        <v>588.13</v>
      </c>
      <c r="C316" s="44">
        <v>592.12</v>
      </c>
      <c r="D316" s="44">
        <v>586.94000000000005</v>
      </c>
      <c r="E316" s="44">
        <v>591.25</v>
      </c>
      <c r="F316" s="44">
        <v>6689596</v>
      </c>
      <c r="G316" s="44" t="s">
        <v>1649</v>
      </c>
      <c r="H316" s="25">
        <f t="shared" si="6"/>
        <v>-5.2769556025370479E-3</v>
      </c>
      <c r="J316" s="44">
        <v>479.2</v>
      </c>
      <c r="K316" s="44">
        <v>485.53</v>
      </c>
      <c r="L316" s="44">
        <v>476.8</v>
      </c>
      <c r="M316" s="44">
        <v>480.98500000000001</v>
      </c>
      <c r="N316" s="44">
        <v>1702864</v>
      </c>
      <c r="O316" s="44" t="s">
        <v>1649</v>
      </c>
      <c r="P316" s="25">
        <f t="shared" si="7"/>
        <v>-3.7111344428620852E-3</v>
      </c>
      <c r="R316" s="51">
        <v>4.2000000000000058E-2</v>
      </c>
      <c r="S316">
        <v>0</v>
      </c>
      <c r="U316" s="50">
        <f t="shared" si="9"/>
        <v>4.1000000000000057E-2</v>
      </c>
      <c r="V316" s="54">
        <f t="shared" si="8"/>
        <v>1.3319022175780879</v>
      </c>
    </row>
    <row r="317" spans="2:22" ht="15">
      <c r="B317" s="44">
        <v>591.36</v>
      </c>
      <c r="C317" s="44">
        <v>592.02</v>
      </c>
      <c r="D317" s="44">
        <v>590.35</v>
      </c>
      <c r="E317" s="44">
        <v>590.98</v>
      </c>
      <c r="F317" s="44">
        <v>5311743</v>
      </c>
      <c r="G317" s="44" t="s">
        <v>1650</v>
      </c>
      <c r="H317" s="25">
        <f t="shared" si="6"/>
        <v>6.4299976310544515E-4</v>
      </c>
      <c r="J317" s="44">
        <v>481.28</v>
      </c>
      <c r="K317" s="44">
        <v>487.2</v>
      </c>
      <c r="L317" s="44">
        <v>479.66</v>
      </c>
      <c r="M317" s="44">
        <v>480.84</v>
      </c>
      <c r="N317" s="44">
        <v>1640809</v>
      </c>
      <c r="O317" s="44" t="s">
        <v>1650</v>
      </c>
      <c r="P317" s="25">
        <f t="shared" si="7"/>
        <v>9.1506530238749662E-4</v>
      </c>
      <c r="R317" s="51">
        <v>4.3000000000000059E-2</v>
      </c>
      <c r="S317">
        <v>0</v>
      </c>
      <c r="U317" s="50">
        <f t="shared" si="9"/>
        <v>4.2000000000000058E-2</v>
      </c>
      <c r="V317" s="54">
        <f t="shared" si="8"/>
        <v>1.1548519916832618</v>
      </c>
    </row>
    <row r="318" spans="2:22" ht="15">
      <c r="B318" s="44">
        <v>591.57000000000005</v>
      </c>
      <c r="C318" s="44">
        <v>593.95000000000005</v>
      </c>
      <c r="D318" s="44">
        <v>590.66</v>
      </c>
      <c r="E318" s="44">
        <v>593.86</v>
      </c>
      <c r="F318" s="44">
        <v>7196315</v>
      </c>
      <c r="G318" s="44" t="s">
        <v>1651</v>
      </c>
      <c r="H318" s="25">
        <f t="shared" si="6"/>
        <v>-3.8561277068668298E-3</v>
      </c>
      <c r="J318" s="44">
        <v>480.26</v>
      </c>
      <c r="K318" s="44">
        <v>482.03500000000003</v>
      </c>
      <c r="L318" s="44">
        <v>476.5</v>
      </c>
      <c r="M318" s="44">
        <v>480.02</v>
      </c>
      <c r="N318" s="44">
        <v>1436548</v>
      </c>
      <c r="O318" s="44" t="s">
        <v>1651</v>
      </c>
      <c r="P318" s="25">
        <f t="shared" si="7"/>
        <v>4.9997916753463656E-4</v>
      </c>
      <c r="R318" s="51">
        <v>4.400000000000006E-2</v>
      </c>
      <c r="S318">
        <v>2</v>
      </c>
      <c r="U318" s="50">
        <f t="shared" si="9"/>
        <v>4.3000000000000059E-2</v>
      </c>
      <c r="V318" s="54">
        <f t="shared" ref="V318:V328" si="10">_xlfn.NORM.DIST(U318,$T$212,$T$214,FALSE)</f>
        <v>0.99787829277514151</v>
      </c>
    </row>
    <row r="319" spans="2:22" ht="15">
      <c r="B319" s="44">
        <v>592.85</v>
      </c>
      <c r="C319" s="44">
        <v>593.51</v>
      </c>
      <c r="D319" s="44">
        <v>590.5</v>
      </c>
      <c r="E319" s="44">
        <v>590.91999999999996</v>
      </c>
      <c r="F319" s="44">
        <v>6236666</v>
      </c>
      <c r="G319" s="44" t="s">
        <v>1652</v>
      </c>
      <c r="H319" s="25">
        <f t="shared" si="6"/>
        <v>3.2660935490422816E-3</v>
      </c>
      <c r="J319" s="44">
        <v>477.08</v>
      </c>
      <c r="K319" s="44">
        <v>483.6</v>
      </c>
      <c r="L319" s="44">
        <v>473.79</v>
      </c>
      <c r="M319" s="44">
        <v>482.5</v>
      </c>
      <c r="N319" s="44">
        <v>1894945</v>
      </c>
      <c r="O319" s="44" t="s">
        <v>1652</v>
      </c>
      <c r="P319" s="25">
        <f t="shared" si="7"/>
        <v>-1.1233160621761717E-2</v>
      </c>
      <c r="R319" s="51">
        <v>4.5000000000000061E-2</v>
      </c>
      <c r="S319">
        <v>0</v>
      </c>
      <c r="U319" s="50">
        <f t="shared" si="9"/>
        <v>4.400000000000006E-2</v>
      </c>
      <c r="V319" s="54">
        <f t="shared" si="10"/>
        <v>0.85926294783071699</v>
      </c>
    </row>
    <row r="320" spans="2:22" ht="15">
      <c r="B320" s="44">
        <v>592.84</v>
      </c>
      <c r="C320" s="44">
        <v>594.03</v>
      </c>
      <c r="D320" s="44">
        <v>590.80999999999995</v>
      </c>
      <c r="E320" s="44">
        <v>592.86</v>
      </c>
      <c r="F320" s="44">
        <v>5392973</v>
      </c>
      <c r="G320" s="44" t="s">
        <v>1653</v>
      </c>
      <c r="H320" s="25">
        <f t="shared" si="6"/>
        <v>-3.3734777181715359E-5</v>
      </c>
      <c r="J320" s="44">
        <v>482.35</v>
      </c>
      <c r="K320" s="44">
        <v>482.69</v>
      </c>
      <c r="L320" s="44">
        <v>474.90629999999999</v>
      </c>
      <c r="M320" s="44">
        <v>481.63</v>
      </c>
      <c r="N320" s="44">
        <v>1740620</v>
      </c>
      <c r="O320" s="44" t="s">
        <v>1653</v>
      </c>
      <c r="P320" s="25">
        <f t="shared" si="7"/>
        <v>1.4949234889853891E-3</v>
      </c>
      <c r="R320" s="51">
        <v>4.6000000000000062E-2</v>
      </c>
      <c r="S320">
        <v>2</v>
      </c>
      <c r="U320" s="50">
        <f t="shared" si="9"/>
        <v>4.5000000000000061E-2</v>
      </c>
      <c r="V320" s="54">
        <f t="shared" si="10"/>
        <v>0.73734689664809061</v>
      </c>
    </row>
    <row r="321" spans="2:22" ht="15">
      <c r="B321" s="44">
        <v>590.78</v>
      </c>
      <c r="C321" s="44">
        <v>590.96</v>
      </c>
      <c r="D321" s="44">
        <v>585.43499999999995</v>
      </c>
      <c r="E321" s="44">
        <v>586.75</v>
      </c>
      <c r="F321" s="44">
        <v>5874245</v>
      </c>
      <c r="G321" s="44" t="s">
        <v>1654</v>
      </c>
      <c r="H321" s="25">
        <f t="shared" si="6"/>
        <v>6.8683425649764818E-3</v>
      </c>
      <c r="J321" s="44">
        <v>478.19</v>
      </c>
      <c r="K321" s="44">
        <v>479.46480000000003</v>
      </c>
      <c r="L321" s="44">
        <v>473</v>
      </c>
      <c r="M321" s="44">
        <v>473.57</v>
      </c>
      <c r="N321" s="44">
        <v>1529677</v>
      </c>
      <c r="O321" s="44" t="s">
        <v>1654</v>
      </c>
      <c r="P321" s="25">
        <f t="shared" si="7"/>
        <v>9.755685537512937E-3</v>
      </c>
      <c r="R321" s="51">
        <v>4.7000000000000063E-2</v>
      </c>
      <c r="S321">
        <v>0</v>
      </c>
      <c r="U321" s="50">
        <f t="shared" si="9"/>
        <v>4.6000000000000062E-2</v>
      </c>
      <c r="V321" s="54">
        <f t="shared" si="10"/>
        <v>0.6305432638154751</v>
      </c>
    </row>
    <row r="322" spans="2:22" ht="15">
      <c r="B322" s="44">
        <v>584.54</v>
      </c>
      <c r="C322" s="44">
        <v>587.36</v>
      </c>
      <c r="D322" s="44">
        <v>583.44000000000005</v>
      </c>
      <c r="E322" s="44">
        <v>586.03</v>
      </c>
      <c r="F322" s="44">
        <v>5373949</v>
      </c>
      <c r="G322" s="44" t="s">
        <v>1655</v>
      </c>
      <c r="H322" s="25">
        <f t="shared" ref="H322:H385" si="11">B322/E322-1</f>
        <v>-2.542531952289151E-3</v>
      </c>
      <c r="J322" s="44">
        <v>471.85</v>
      </c>
      <c r="K322" s="44">
        <v>475.82499999999999</v>
      </c>
      <c r="L322" s="44">
        <v>468.05</v>
      </c>
      <c r="M322" s="44">
        <v>468.16</v>
      </c>
      <c r="N322" s="44">
        <v>1418260</v>
      </c>
      <c r="O322" s="44" t="s">
        <v>1655</v>
      </c>
      <c r="P322" s="25">
        <f t="shared" ref="P322:P363" si="12">J322/M322-1</f>
        <v>7.8819207108680178E-3</v>
      </c>
      <c r="R322" s="51">
        <v>4.8000000000000063E-2</v>
      </c>
      <c r="S322">
        <v>1</v>
      </c>
      <c r="U322" s="50">
        <f t="shared" si="9"/>
        <v>4.7000000000000063E-2</v>
      </c>
      <c r="V322" s="54">
        <f t="shared" si="10"/>
        <v>0.53734744240308208</v>
      </c>
    </row>
    <row r="323" spans="2:22" ht="15">
      <c r="B323" s="44">
        <v>585.74</v>
      </c>
      <c r="C323" s="44">
        <v>586.16999999999996</v>
      </c>
      <c r="D323" s="44">
        <v>582.6</v>
      </c>
      <c r="E323" s="44">
        <v>582.92999999999995</v>
      </c>
      <c r="F323" s="44">
        <v>4342341</v>
      </c>
      <c r="G323" s="44" t="s">
        <v>1656</v>
      </c>
      <c r="H323" s="25">
        <f t="shared" si="11"/>
        <v>4.8204758718886076E-3</v>
      </c>
      <c r="J323" s="44">
        <v>470.08</v>
      </c>
      <c r="K323" s="44">
        <v>474.08</v>
      </c>
      <c r="L323" s="44">
        <v>469.11</v>
      </c>
      <c r="M323" s="44">
        <v>470.74</v>
      </c>
      <c r="N323" s="44">
        <v>1446184</v>
      </c>
      <c r="O323" s="44" t="s">
        <v>1656</v>
      </c>
      <c r="P323" s="25">
        <f t="shared" si="12"/>
        <v>-1.4020478395717628E-3</v>
      </c>
      <c r="R323" s="51">
        <v>4.9000000000000064E-2</v>
      </c>
      <c r="S323">
        <v>0</v>
      </c>
      <c r="U323" s="50">
        <f t="shared" si="9"/>
        <v>4.8000000000000063E-2</v>
      </c>
      <c r="V323" s="54">
        <f t="shared" si="10"/>
        <v>0.45634441927196029</v>
      </c>
    </row>
    <row r="324" spans="2:22" ht="15">
      <c r="B324" s="44">
        <v>581.29</v>
      </c>
      <c r="C324" s="44">
        <v>585.52</v>
      </c>
      <c r="D324" s="44">
        <v>578.31269999999995</v>
      </c>
      <c r="E324" s="44">
        <v>584.87</v>
      </c>
      <c r="F324" s="44">
        <v>4594260</v>
      </c>
      <c r="G324" s="44" t="s">
        <v>1657</v>
      </c>
      <c r="H324" s="25">
        <f t="shared" si="11"/>
        <v>-6.1210183459572409E-3</v>
      </c>
      <c r="J324" s="44">
        <v>469.81</v>
      </c>
      <c r="K324" s="44">
        <v>479.13299999999998</v>
      </c>
      <c r="L324" s="44">
        <v>463.9</v>
      </c>
      <c r="M324" s="44">
        <v>478.42</v>
      </c>
      <c r="N324" s="44">
        <v>1777865</v>
      </c>
      <c r="O324" s="44" t="s">
        <v>1657</v>
      </c>
      <c r="P324" s="25">
        <f t="shared" si="12"/>
        <v>-1.7996739266753048E-2</v>
      </c>
      <c r="R324" s="51">
        <v>5.0000000000000065E-2</v>
      </c>
      <c r="S324">
        <v>1</v>
      </c>
      <c r="U324" s="50">
        <f t="shared" si="9"/>
        <v>4.9000000000000064E-2</v>
      </c>
      <c r="V324" s="54">
        <f t="shared" si="10"/>
        <v>0.3862136006372871</v>
      </c>
    </row>
    <row r="325" spans="2:22" ht="15">
      <c r="B325" s="44">
        <v>581.64</v>
      </c>
      <c r="C325" s="44">
        <v>582.27</v>
      </c>
      <c r="D325" s="44">
        <v>577.41</v>
      </c>
      <c r="E325" s="44">
        <v>578.25</v>
      </c>
      <c r="F325" s="44">
        <v>4545015</v>
      </c>
      <c r="G325" s="44" t="s">
        <v>1658</v>
      </c>
      <c r="H325" s="25">
        <f t="shared" si="11"/>
        <v>5.8625162127108332E-3</v>
      </c>
      <c r="J325" s="44">
        <v>474.06</v>
      </c>
      <c r="K325" s="44">
        <v>480.99090000000001</v>
      </c>
      <c r="L325" s="44">
        <v>473.26</v>
      </c>
      <c r="M325" s="44">
        <v>477.04</v>
      </c>
      <c r="N325" s="44">
        <v>2191659</v>
      </c>
      <c r="O325" s="44" t="s">
        <v>1658</v>
      </c>
      <c r="P325" s="25">
        <f t="shared" si="12"/>
        <v>-6.2468556095924832E-3</v>
      </c>
      <c r="R325" s="51">
        <v>5.1000000000000066E-2</v>
      </c>
      <c r="S325">
        <v>1</v>
      </c>
      <c r="U325" s="50">
        <f t="shared" si="9"/>
        <v>5.0000000000000065E-2</v>
      </c>
      <c r="V325" s="54">
        <f t="shared" si="10"/>
        <v>0.32573141451624132</v>
      </c>
    </row>
    <row r="326" spans="2:22" ht="15">
      <c r="B326" s="44">
        <v>577.35</v>
      </c>
      <c r="C326" s="44">
        <v>581.5</v>
      </c>
      <c r="D326" s="44">
        <v>576.4</v>
      </c>
      <c r="E326" s="44">
        <v>580.79</v>
      </c>
      <c r="F326" s="44">
        <v>4647381</v>
      </c>
      <c r="G326" s="44" t="s">
        <v>1659</v>
      </c>
      <c r="H326" s="25">
        <f t="shared" si="11"/>
        <v>-5.9229669932332474E-3</v>
      </c>
      <c r="J326" s="44">
        <v>477</v>
      </c>
      <c r="K326" s="44">
        <v>486.51</v>
      </c>
      <c r="L326" s="44">
        <v>476.75</v>
      </c>
      <c r="M326" s="44">
        <v>483.22</v>
      </c>
      <c r="N326" s="44">
        <v>2610355</v>
      </c>
      <c r="O326" s="44" t="s">
        <v>1659</v>
      </c>
      <c r="P326" s="25">
        <f t="shared" si="12"/>
        <v>-1.2871983775506024E-2</v>
      </c>
      <c r="R326" s="51">
        <v>5.2000000000000067E-2</v>
      </c>
      <c r="S326">
        <v>1</v>
      </c>
      <c r="U326" s="50">
        <f t="shared" si="9"/>
        <v>5.1000000000000066E-2</v>
      </c>
      <c r="V326" s="54">
        <f t="shared" si="10"/>
        <v>0.27377197498622291</v>
      </c>
    </row>
    <row r="327" spans="2:22" ht="15.75" thickBot="1">
      <c r="B327" s="44">
        <v>580.14</v>
      </c>
      <c r="C327" s="44">
        <v>580.21</v>
      </c>
      <c r="D327" s="44">
        <v>575.08000000000004</v>
      </c>
      <c r="E327" s="44">
        <v>575.16999999999996</v>
      </c>
      <c r="F327" s="44">
        <v>6640089</v>
      </c>
      <c r="G327" s="44" t="s">
        <v>1660</v>
      </c>
      <c r="H327" s="25">
        <f t="shared" si="11"/>
        <v>8.6409235530364725E-3</v>
      </c>
      <c r="J327" s="44">
        <v>483.36</v>
      </c>
      <c r="K327" s="44">
        <v>490</v>
      </c>
      <c r="L327" s="44">
        <v>478.82</v>
      </c>
      <c r="M327" s="44">
        <v>486.75</v>
      </c>
      <c r="N327" s="44">
        <v>2493666</v>
      </c>
      <c r="O327" s="44" t="s">
        <v>1660</v>
      </c>
      <c r="P327" s="25">
        <f t="shared" si="12"/>
        <v>-6.9645608628658984E-3</v>
      </c>
      <c r="R327" s="52" t="s">
        <v>1486</v>
      </c>
      <c r="S327" s="52">
        <v>10</v>
      </c>
      <c r="U327" s="50">
        <f t="shared" si="9"/>
        <v>5.2000000000000067E-2</v>
      </c>
      <c r="V327" s="54">
        <f t="shared" si="10"/>
        <v>0.22930609298466192</v>
      </c>
    </row>
    <row r="328" spans="2:22">
      <c r="B328" s="44">
        <v>571.45000000000005</v>
      </c>
      <c r="C328" s="44">
        <v>575.74</v>
      </c>
      <c r="D328" s="44">
        <v>569.29</v>
      </c>
      <c r="E328" s="44">
        <v>575.73</v>
      </c>
      <c r="F328" s="44">
        <v>8781254</v>
      </c>
      <c r="G328" s="44" t="s">
        <v>1661</v>
      </c>
      <c r="H328" s="25">
        <f t="shared" si="11"/>
        <v>-7.4340402619282875E-3</v>
      </c>
      <c r="J328" s="44">
        <v>483.12</v>
      </c>
      <c r="K328" s="44">
        <v>486.06</v>
      </c>
      <c r="L328" s="44">
        <v>473.24</v>
      </c>
      <c r="M328" s="44">
        <v>475.46</v>
      </c>
      <c r="N328" s="44">
        <v>2983128</v>
      </c>
      <c r="O328" s="44" t="s">
        <v>1661</v>
      </c>
      <c r="P328" s="25">
        <f t="shared" si="12"/>
        <v>1.6110713835022938E-2</v>
      </c>
      <c r="U328" s="50">
        <f t="shared" si="9"/>
        <v>5.3000000000000068E-2</v>
      </c>
      <c r="V328" s="54">
        <f t="shared" si="10"/>
        <v>0.19139891099172468</v>
      </c>
    </row>
    <row r="329" spans="2:22">
      <c r="B329" s="44">
        <v>581.02</v>
      </c>
      <c r="C329" s="44">
        <v>588.16139999999996</v>
      </c>
      <c r="D329" s="44">
        <v>579.84</v>
      </c>
      <c r="E329" s="44">
        <v>587.83000000000004</v>
      </c>
      <c r="F329" s="44">
        <v>7046843</v>
      </c>
      <c r="G329" s="44" t="s">
        <v>1662</v>
      </c>
      <c r="H329" s="25">
        <f t="shared" si="11"/>
        <v>-1.1584982052634363E-2</v>
      </c>
      <c r="J329" s="44">
        <v>481.09</v>
      </c>
      <c r="K329" s="44">
        <v>498.96499999999997</v>
      </c>
      <c r="L329" s="44">
        <v>479.6</v>
      </c>
      <c r="M329" s="44">
        <v>497.24</v>
      </c>
      <c r="N329" s="44">
        <v>2602193</v>
      </c>
      <c r="O329" s="44" t="s">
        <v>1662</v>
      </c>
      <c r="P329" s="25">
        <f t="shared" si="12"/>
        <v>-3.2479285656825785E-2</v>
      </c>
    </row>
    <row r="330" spans="2:22">
      <c r="B330" s="44">
        <v>583.21</v>
      </c>
      <c r="C330" s="44">
        <v>586.15</v>
      </c>
      <c r="D330" s="44">
        <v>580.54999999999995</v>
      </c>
      <c r="E330" s="44">
        <v>584.66</v>
      </c>
      <c r="F330" s="44">
        <v>6974729</v>
      </c>
      <c r="G330" s="44" t="s">
        <v>1663</v>
      </c>
      <c r="H330" s="25">
        <f t="shared" si="11"/>
        <v>-2.4800738890977669E-3</v>
      </c>
      <c r="J330" s="44">
        <v>500.51</v>
      </c>
      <c r="K330" s="44">
        <v>503.21499999999997</v>
      </c>
      <c r="L330" s="44">
        <v>496.94749999999999</v>
      </c>
      <c r="M330" s="44">
        <v>497.71</v>
      </c>
      <c r="N330" s="44">
        <v>1758836</v>
      </c>
      <c r="O330" s="44" t="s">
        <v>1663</v>
      </c>
      <c r="P330" s="25">
        <f t="shared" si="12"/>
        <v>5.6257660083181005E-3</v>
      </c>
    </row>
    <row r="331" spans="2:22">
      <c r="B331" s="44">
        <v>583.91999999999996</v>
      </c>
      <c r="C331" s="44">
        <v>587.08000000000004</v>
      </c>
      <c r="D331" s="44">
        <v>583.12</v>
      </c>
      <c r="E331" s="44">
        <v>586.82000000000005</v>
      </c>
      <c r="F331" s="44">
        <v>5033308</v>
      </c>
      <c r="G331" s="44" t="s">
        <v>1664</v>
      </c>
      <c r="H331" s="25">
        <f t="shared" si="11"/>
        <v>-4.9418901877920085E-3</v>
      </c>
      <c r="J331" s="44">
        <v>496.87</v>
      </c>
      <c r="K331" s="44">
        <v>502.42</v>
      </c>
      <c r="L331" s="44">
        <v>496.17</v>
      </c>
      <c r="M331" s="44">
        <v>497.25</v>
      </c>
      <c r="N331" s="44">
        <v>1829774</v>
      </c>
      <c r="O331" s="44" t="s">
        <v>1664</v>
      </c>
      <c r="P331" s="25">
        <f t="shared" si="12"/>
        <v>-7.642031171443131E-4</v>
      </c>
    </row>
    <row r="332" spans="2:22">
      <c r="B332" s="44">
        <v>585.44000000000005</v>
      </c>
      <c r="C332" s="44">
        <v>586.5</v>
      </c>
      <c r="D332" s="44">
        <v>584.24</v>
      </c>
      <c r="E332" s="44">
        <v>586.04</v>
      </c>
      <c r="F332" s="44">
        <v>4169858</v>
      </c>
      <c r="G332" s="44" t="s">
        <v>1665</v>
      </c>
      <c r="H332" s="25">
        <f t="shared" si="11"/>
        <v>-1.0238208995971831E-3</v>
      </c>
      <c r="J332" s="44">
        <v>493.95</v>
      </c>
      <c r="K332" s="44">
        <v>502.81</v>
      </c>
      <c r="L332" s="44">
        <v>493.22</v>
      </c>
      <c r="M332" s="44">
        <v>498</v>
      </c>
      <c r="N332" s="44">
        <v>2471527</v>
      </c>
      <c r="O332" s="44" t="s">
        <v>1665</v>
      </c>
      <c r="P332" s="25">
        <f t="shared" si="12"/>
        <v>-8.1325301204819844E-3</v>
      </c>
    </row>
    <row r="333" spans="2:22">
      <c r="B333" s="44">
        <v>585.58000000000004</v>
      </c>
      <c r="C333" s="44">
        <v>586.04</v>
      </c>
      <c r="D333" s="44">
        <v>583.59</v>
      </c>
      <c r="E333" s="44">
        <v>583.80999999999995</v>
      </c>
      <c r="F333" s="44">
        <v>3189061</v>
      </c>
      <c r="G333" s="44" t="s">
        <v>1666</v>
      </c>
      <c r="H333" s="25">
        <f t="shared" si="11"/>
        <v>3.0318082937943469E-3</v>
      </c>
      <c r="J333" s="44">
        <v>495.86</v>
      </c>
      <c r="K333" s="44">
        <v>497.5</v>
      </c>
      <c r="L333" s="44">
        <v>490.76</v>
      </c>
      <c r="M333" s="44">
        <v>492.48</v>
      </c>
      <c r="N333" s="44">
        <v>1864184</v>
      </c>
      <c r="O333" s="44" t="s">
        <v>1666</v>
      </c>
      <c r="P333" s="25">
        <f t="shared" si="12"/>
        <v>6.8632228719947008E-3</v>
      </c>
    </row>
    <row r="334" spans="2:22">
      <c r="B334" s="44">
        <v>583.26</v>
      </c>
      <c r="C334" s="44">
        <v>584.75</v>
      </c>
      <c r="D334" s="44">
        <v>582.72</v>
      </c>
      <c r="E334" s="44">
        <v>583.34</v>
      </c>
      <c r="F334" s="44">
        <v>3840901</v>
      </c>
      <c r="G334" s="44" t="s">
        <v>1667</v>
      </c>
      <c r="H334" s="25">
        <f t="shared" si="11"/>
        <v>-1.3714128981390239E-4</v>
      </c>
      <c r="J334" s="44">
        <v>488.61</v>
      </c>
      <c r="K334" s="44">
        <v>505.74</v>
      </c>
      <c r="L334" s="44">
        <v>486.54</v>
      </c>
      <c r="M334" s="44">
        <v>503.52</v>
      </c>
      <c r="N334" s="44">
        <v>2607994</v>
      </c>
      <c r="O334" s="44" t="s">
        <v>1667</v>
      </c>
      <c r="P334" s="25">
        <f t="shared" si="12"/>
        <v>-2.961153479504286E-2</v>
      </c>
    </row>
    <row r="335" spans="2:22">
      <c r="B335" s="44">
        <v>582.86</v>
      </c>
      <c r="C335" s="44">
        <v>582.96</v>
      </c>
      <c r="D335" s="44">
        <v>578.87</v>
      </c>
      <c r="E335" s="44">
        <v>580.57000000000005</v>
      </c>
      <c r="F335" s="44">
        <v>4257345</v>
      </c>
      <c r="G335" s="44" t="s">
        <v>1668</v>
      </c>
      <c r="H335" s="25">
        <f t="shared" si="11"/>
        <v>3.9443994694867701E-3</v>
      </c>
      <c r="J335" s="44">
        <v>501.95</v>
      </c>
      <c r="K335" s="44">
        <v>530.35</v>
      </c>
      <c r="L335" s="44">
        <v>491.85500000000002</v>
      </c>
      <c r="M335" s="44">
        <v>522.5</v>
      </c>
      <c r="N335" s="44">
        <v>4659926</v>
      </c>
      <c r="O335" s="44" t="s">
        <v>1668</v>
      </c>
      <c r="P335" s="25">
        <f t="shared" si="12"/>
        <v>-3.9330143540669882E-2</v>
      </c>
    </row>
    <row r="336" spans="2:22">
      <c r="B336" s="44">
        <v>577.95000000000005</v>
      </c>
      <c r="C336" s="44">
        <v>578.84</v>
      </c>
      <c r="D336" s="44">
        <v>575.64</v>
      </c>
      <c r="E336" s="44">
        <v>578.28</v>
      </c>
      <c r="F336" s="44">
        <v>4743679</v>
      </c>
      <c r="G336" s="44" t="s">
        <v>1669</v>
      </c>
      <c r="H336" s="25">
        <f t="shared" si="11"/>
        <v>-5.7065781282406025E-4</v>
      </c>
      <c r="J336" s="44">
        <v>511</v>
      </c>
      <c r="K336" s="44">
        <v>519.83000000000004</v>
      </c>
      <c r="L336" s="44">
        <v>508.27</v>
      </c>
      <c r="M336" s="44">
        <v>516.04999999999995</v>
      </c>
      <c r="N336" s="44">
        <v>2308426</v>
      </c>
      <c r="O336" s="44" t="s">
        <v>1669</v>
      </c>
      <c r="P336" s="25">
        <f t="shared" si="12"/>
        <v>-9.7858734618737619E-3</v>
      </c>
    </row>
    <row r="337" spans="2:16">
      <c r="B337" s="44">
        <v>577.95000000000005</v>
      </c>
      <c r="C337" s="44">
        <v>580.53</v>
      </c>
      <c r="D337" s="44">
        <v>577.59</v>
      </c>
      <c r="E337" s="44">
        <v>577.98</v>
      </c>
      <c r="F337" s="44">
        <v>5892207</v>
      </c>
      <c r="G337" s="44" t="s">
        <v>1670</v>
      </c>
      <c r="H337" s="25">
        <f t="shared" si="11"/>
        <v>-5.1904910204458865E-5</v>
      </c>
      <c r="J337" s="44">
        <v>516.12</v>
      </c>
      <c r="K337" s="44">
        <v>523.09</v>
      </c>
      <c r="L337" s="44">
        <v>514.95500000000004</v>
      </c>
      <c r="M337" s="44">
        <v>518.18499999999995</v>
      </c>
      <c r="N337" s="44">
        <v>1637240</v>
      </c>
      <c r="O337" s="44" t="s">
        <v>1670</v>
      </c>
      <c r="P337" s="25">
        <f t="shared" si="12"/>
        <v>-3.9850632496115646E-3</v>
      </c>
    </row>
    <row r="338" spans="2:16">
      <c r="B338" s="44">
        <v>576.91999999999996</v>
      </c>
      <c r="C338" s="44">
        <v>578.5</v>
      </c>
      <c r="D338" s="44">
        <v>575.84</v>
      </c>
      <c r="E338" s="44">
        <v>578.47</v>
      </c>
      <c r="F338" s="44">
        <v>4244147</v>
      </c>
      <c r="G338" s="44" t="s">
        <v>1671</v>
      </c>
      <c r="H338" s="25">
        <f t="shared" si="11"/>
        <v>-2.6794820820441601E-3</v>
      </c>
      <c r="J338" s="44">
        <v>518.62</v>
      </c>
      <c r="K338" s="44">
        <v>520.96299999999997</v>
      </c>
      <c r="L338" s="44">
        <v>513.27</v>
      </c>
      <c r="M338" s="44">
        <v>520.21</v>
      </c>
      <c r="N338" s="44">
        <v>1881716</v>
      </c>
      <c r="O338" s="44" t="s">
        <v>1671</v>
      </c>
      <c r="P338" s="25">
        <f t="shared" si="12"/>
        <v>-3.0564579688971971E-3</v>
      </c>
    </row>
    <row r="339" spans="2:16">
      <c r="B339" s="44">
        <v>577.17999999999995</v>
      </c>
      <c r="C339" s="44">
        <v>577.65</v>
      </c>
      <c r="D339" s="44">
        <v>573.79999999999995</v>
      </c>
      <c r="E339" s="44">
        <v>574.02</v>
      </c>
      <c r="F339" s="44">
        <v>5391575</v>
      </c>
      <c r="G339" s="44" t="s">
        <v>1672</v>
      </c>
      <c r="H339" s="25">
        <f t="shared" si="11"/>
        <v>5.5050346677816275E-3</v>
      </c>
      <c r="J339" s="44">
        <v>516.16</v>
      </c>
      <c r="K339" s="44">
        <v>517.66999999999996</v>
      </c>
      <c r="L339" s="44">
        <v>509.25</v>
      </c>
      <c r="M339" s="44">
        <v>510.83</v>
      </c>
      <c r="N339" s="44">
        <v>2001613</v>
      </c>
      <c r="O339" s="44" t="s">
        <v>1672</v>
      </c>
      <c r="P339" s="25">
        <f t="shared" si="12"/>
        <v>1.0433999569328334E-2</v>
      </c>
    </row>
    <row r="340" spans="2:16">
      <c r="B340" s="44">
        <v>573.74</v>
      </c>
      <c r="C340" s="44">
        <v>574.26</v>
      </c>
      <c r="D340" s="44">
        <v>568.16999999999996</v>
      </c>
      <c r="E340" s="44">
        <v>573.4</v>
      </c>
      <c r="F340" s="44">
        <v>6119852</v>
      </c>
      <c r="G340" s="44" t="s">
        <v>1673</v>
      </c>
      <c r="H340" s="25">
        <f t="shared" si="11"/>
        <v>5.9295430763861567E-4</v>
      </c>
      <c r="J340" s="44">
        <v>512.64</v>
      </c>
      <c r="K340" s="44">
        <v>515.14</v>
      </c>
      <c r="L340" s="44">
        <v>506.21050000000002</v>
      </c>
      <c r="M340" s="44">
        <v>512.51</v>
      </c>
      <c r="N340" s="44">
        <v>1848780</v>
      </c>
      <c r="O340" s="44" t="s">
        <v>1673</v>
      </c>
      <c r="P340" s="25">
        <f t="shared" si="12"/>
        <v>2.5365358724704912E-4</v>
      </c>
    </row>
    <row r="341" spans="2:16">
      <c r="B341" s="44">
        <v>571.86</v>
      </c>
      <c r="C341" s="44">
        <v>577.16</v>
      </c>
      <c r="D341" s="44">
        <v>571.85</v>
      </c>
      <c r="E341" s="44">
        <v>576.85</v>
      </c>
      <c r="F341" s="44">
        <v>5338268</v>
      </c>
      <c r="G341" s="44" t="s">
        <v>1674</v>
      </c>
      <c r="H341" s="25">
        <f t="shared" si="11"/>
        <v>-8.6504290543468754E-3</v>
      </c>
      <c r="J341" s="44">
        <v>512.23</v>
      </c>
      <c r="K341" s="44">
        <v>521.28</v>
      </c>
      <c r="L341" s="44">
        <v>510.84019999999998</v>
      </c>
      <c r="M341" s="44">
        <v>519.21</v>
      </c>
      <c r="N341" s="44">
        <v>1644641</v>
      </c>
      <c r="O341" s="44" t="s">
        <v>1674</v>
      </c>
      <c r="P341" s="25">
        <f t="shared" si="12"/>
        <v>-1.3443500702991162E-2</v>
      </c>
    </row>
    <row r="342" spans="2:16">
      <c r="B342" s="44">
        <v>574.35</v>
      </c>
      <c r="C342" s="44">
        <v>574.67899999999997</v>
      </c>
      <c r="D342" s="44">
        <v>571.58000000000004</v>
      </c>
      <c r="E342" s="44">
        <v>572.85</v>
      </c>
      <c r="F342" s="44">
        <v>4719971</v>
      </c>
      <c r="G342" s="44" t="s">
        <v>1675</v>
      </c>
      <c r="H342" s="25">
        <f t="shared" si="11"/>
        <v>2.6184865147944603E-3</v>
      </c>
      <c r="J342" s="44">
        <v>516.44000000000005</v>
      </c>
      <c r="K342" s="44">
        <v>522.1</v>
      </c>
      <c r="L342" s="44">
        <v>509.88</v>
      </c>
      <c r="M342" s="44">
        <v>509.88</v>
      </c>
      <c r="N342" s="44">
        <v>2072556</v>
      </c>
      <c r="O342" s="44" t="s">
        <v>1675</v>
      </c>
      <c r="P342" s="25">
        <f t="shared" si="12"/>
        <v>1.2865772338589654E-2</v>
      </c>
    </row>
    <row r="343" spans="2:16">
      <c r="B343" s="44">
        <v>573.22</v>
      </c>
      <c r="C343" s="44">
        <v>574.37570000000005</v>
      </c>
      <c r="D343" s="44">
        <v>571.37</v>
      </c>
      <c r="E343" s="44">
        <v>572.45000000000005</v>
      </c>
      <c r="F343" s="44">
        <v>4414258</v>
      </c>
      <c r="G343" s="44" t="s">
        <v>1676</v>
      </c>
      <c r="H343" s="25">
        <f t="shared" si="11"/>
        <v>1.3450956415406168E-3</v>
      </c>
      <c r="J343" s="44">
        <v>512.05999999999995</v>
      </c>
      <c r="K343" s="44">
        <v>522.87</v>
      </c>
      <c r="L343" s="44">
        <v>508.13</v>
      </c>
      <c r="M343" s="44">
        <v>522.87</v>
      </c>
      <c r="N343" s="44">
        <v>2877308</v>
      </c>
      <c r="O343" s="44" t="s">
        <v>1676</v>
      </c>
      <c r="P343" s="25">
        <f t="shared" si="12"/>
        <v>-2.0674355002199496E-2</v>
      </c>
    </row>
    <row r="344" spans="2:16">
      <c r="B344" s="44">
        <v>575.29</v>
      </c>
      <c r="C344" s="44">
        <v>576.26</v>
      </c>
      <c r="D344" s="44">
        <v>572.70000000000005</v>
      </c>
      <c r="E344" s="44">
        <v>573.78</v>
      </c>
      <c r="F344" s="44">
        <v>4920279</v>
      </c>
      <c r="G344" s="44" t="s">
        <v>1677</v>
      </c>
      <c r="H344" s="25">
        <f t="shared" si="11"/>
        <v>2.6316706751716712E-3</v>
      </c>
      <c r="J344" s="44">
        <v>526.04999999999995</v>
      </c>
      <c r="K344" s="44">
        <v>528.54999999999995</v>
      </c>
      <c r="L344" s="44">
        <v>520.25</v>
      </c>
      <c r="M344" s="44">
        <v>527.1</v>
      </c>
      <c r="N344" s="44">
        <v>1422744</v>
      </c>
      <c r="O344" s="44" t="s">
        <v>1677</v>
      </c>
      <c r="P344" s="25">
        <f t="shared" si="12"/>
        <v>-1.9920318725100694E-3</v>
      </c>
    </row>
    <row r="345" spans="2:16">
      <c r="B345" s="44">
        <v>573.61</v>
      </c>
      <c r="C345" s="44">
        <v>574.26</v>
      </c>
      <c r="D345" s="44">
        <v>570.76</v>
      </c>
      <c r="E345" s="44">
        <v>572.46</v>
      </c>
      <c r="F345" s="44">
        <v>6833139</v>
      </c>
      <c r="G345" s="44" t="s">
        <v>1678</v>
      </c>
      <c r="H345" s="25">
        <f t="shared" si="11"/>
        <v>2.0088739824615232E-3</v>
      </c>
      <c r="J345" s="44">
        <v>528.13</v>
      </c>
      <c r="K345" s="44">
        <v>530.70989999999995</v>
      </c>
      <c r="L345" s="44">
        <v>523.16</v>
      </c>
      <c r="M345" s="44">
        <v>529.82000000000005</v>
      </c>
      <c r="N345" s="44">
        <v>1374609</v>
      </c>
      <c r="O345" s="44" t="s">
        <v>1678</v>
      </c>
      <c r="P345" s="25">
        <f t="shared" si="12"/>
        <v>-3.1897625608697799E-3</v>
      </c>
    </row>
    <row r="346" spans="2:16">
      <c r="B346" s="44">
        <v>570.23</v>
      </c>
      <c r="C346" s="44">
        <v>571.83000000000004</v>
      </c>
      <c r="D346" s="44">
        <v>569.48</v>
      </c>
      <c r="E346" s="44">
        <v>571.15</v>
      </c>
      <c r="F346" s="44">
        <v>6916815</v>
      </c>
      <c r="G346" s="44" t="s">
        <v>1679</v>
      </c>
      <c r="H346" s="25">
        <f t="shared" si="11"/>
        <v>-1.6107852578131077E-3</v>
      </c>
      <c r="J346" s="44">
        <v>527.29999999999995</v>
      </c>
      <c r="K346" s="44">
        <v>539.59</v>
      </c>
      <c r="L346" s="44">
        <v>525.66499999999996</v>
      </c>
      <c r="M346" s="44">
        <v>534</v>
      </c>
      <c r="N346" s="44">
        <v>1603694</v>
      </c>
      <c r="O346" s="44" t="s">
        <v>1679</v>
      </c>
      <c r="P346" s="25">
        <f t="shared" si="12"/>
        <v>-1.2546816479400813E-2</v>
      </c>
    </row>
    <row r="347" spans="2:16">
      <c r="B347" s="44">
        <v>570.61</v>
      </c>
      <c r="C347" s="44">
        <v>573.59</v>
      </c>
      <c r="D347" s="44">
        <v>567.98</v>
      </c>
      <c r="E347" s="44">
        <v>573</v>
      </c>
      <c r="F347" s="44">
        <v>6347907</v>
      </c>
      <c r="G347" s="44" t="s">
        <v>1680</v>
      </c>
      <c r="H347" s="25">
        <f t="shared" si="11"/>
        <v>-4.1710296684118742E-3</v>
      </c>
      <c r="J347" s="44">
        <v>534.71</v>
      </c>
      <c r="K347" s="44">
        <v>544.88</v>
      </c>
      <c r="L347" s="44">
        <v>532.88</v>
      </c>
      <c r="M347" s="44">
        <v>543.23</v>
      </c>
      <c r="N347" s="44">
        <v>1190672</v>
      </c>
      <c r="O347" s="44" t="s">
        <v>1680</v>
      </c>
      <c r="P347" s="25">
        <f t="shared" si="12"/>
        <v>-1.5683964434953901E-2</v>
      </c>
    </row>
    <row r="348" spans="2:16">
      <c r="B348" s="44">
        <v>575.22</v>
      </c>
      <c r="C348" s="44">
        <v>575.66999999999996</v>
      </c>
      <c r="D348" s="44">
        <v>572.13</v>
      </c>
      <c r="E348" s="44">
        <v>572.17999999999995</v>
      </c>
      <c r="F348" s="44">
        <v>4833973</v>
      </c>
      <c r="G348" s="44" t="s">
        <v>1681</v>
      </c>
      <c r="H348" s="25">
        <f t="shared" si="11"/>
        <v>5.3130133873957597E-3</v>
      </c>
      <c r="J348" s="44">
        <v>544.47</v>
      </c>
      <c r="K348" s="44">
        <v>547</v>
      </c>
      <c r="L348" s="44">
        <v>542.39</v>
      </c>
      <c r="M348" s="44">
        <v>543.92999999999995</v>
      </c>
      <c r="N348" s="44">
        <v>704674</v>
      </c>
      <c r="O348" s="44" t="s">
        <v>1681</v>
      </c>
      <c r="P348" s="25">
        <f t="shared" si="12"/>
        <v>9.9277480558179754E-4</v>
      </c>
    </row>
    <row r="349" spans="2:16">
      <c r="B349" s="44">
        <v>570.29</v>
      </c>
      <c r="C349" s="44">
        <v>570.34</v>
      </c>
      <c r="D349" s="44">
        <v>566.80999999999995</v>
      </c>
      <c r="E349" s="44">
        <v>567.37</v>
      </c>
      <c r="F349" s="44">
        <v>6134026</v>
      </c>
      <c r="G349" s="44" t="s">
        <v>1682</v>
      </c>
      <c r="H349" s="25">
        <f t="shared" si="11"/>
        <v>5.1465533954913045E-3</v>
      </c>
      <c r="J349" s="44">
        <v>540.6</v>
      </c>
      <c r="K349" s="44">
        <v>550.70000000000005</v>
      </c>
      <c r="L349" s="44">
        <v>535.34</v>
      </c>
      <c r="M349" s="44">
        <v>535.34</v>
      </c>
      <c r="N349" s="44">
        <v>1486357</v>
      </c>
      <c r="O349" s="44" t="s">
        <v>1682</v>
      </c>
      <c r="P349" s="25">
        <f t="shared" si="12"/>
        <v>9.8255314379647185E-3</v>
      </c>
    </row>
    <row r="350" spans="2:16">
      <c r="B350" s="44">
        <v>567.77</v>
      </c>
      <c r="C350" s="44">
        <v>568.79999999999995</v>
      </c>
      <c r="D350" s="44">
        <v>565.79999999999995</v>
      </c>
      <c r="E350" s="44">
        <v>566.55999999999995</v>
      </c>
      <c r="F350" s="44">
        <v>7369350</v>
      </c>
      <c r="G350" s="44" t="s">
        <v>1683</v>
      </c>
      <c r="H350" s="25">
        <f t="shared" si="11"/>
        <v>2.1356961310365907E-3</v>
      </c>
      <c r="J350" s="44">
        <v>537.99</v>
      </c>
      <c r="K350" s="44">
        <v>545.80999999999995</v>
      </c>
      <c r="L350" s="44">
        <v>531.67499999999995</v>
      </c>
      <c r="M350" s="44">
        <v>542.58000000000004</v>
      </c>
      <c r="N350" s="44">
        <v>1636815</v>
      </c>
      <c r="O350" s="44" t="s">
        <v>1683</v>
      </c>
      <c r="P350" s="25">
        <f t="shared" si="12"/>
        <v>-8.459581997124932E-3</v>
      </c>
    </row>
    <row r="351" spans="2:16">
      <c r="B351" s="44">
        <v>568.03</v>
      </c>
      <c r="C351" s="44">
        <v>569.15</v>
      </c>
      <c r="D351" s="44">
        <v>565.375</v>
      </c>
      <c r="E351" s="44">
        <v>567.5</v>
      </c>
      <c r="F351" s="44">
        <v>5719188</v>
      </c>
      <c r="G351" s="44" t="s">
        <v>1684</v>
      </c>
      <c r="H351" s="25">
        <f t="shared" si="11"/>
        <v>9.3392070484576983E-4</v>
      </c>
      <c r="J351" s="44">
        <v>543.41</v>
      </c>
      <c r="K351" s="44">
        <v>544.5</v>
      </c>
      <c r="L351" s="44">
        <v>534.41999999999996</v>
      </c>
      <c r="M351" s="44">
        <v>534.41999999999996</v>
      </c>
      <c r="N351" s="44">
        <v>1583452</v>
      </c>
      <c r="O351" s="44" t="s">
        <v>1684</v>
      </c>
      <c r="P351" s="25">
        <f t="shared" si="12"/>
        <v>1.6821975225478125E-2</v>
      </c>
    </row>
    <row r="352" spans="2:16">
      <c r="B352" s="44">
        <v>566.95000000000005</v>
      </c>
      <c r="C352" s="44">
        <v>568.33000000000004</v>
      </c>
      <c r="D352" s="44">
        <v>563.21</v>
      </c>
      <c r="E352" s="44">
        <v>565.11</v>
      </c>
      <c r="F352" s="44">
        <v>6056524</v>
      </c>
      <c r="G352" s="44" t="s">
        <v>1685</v>
      </c>
      <c r="H352" s="25">
        <f t="shared" si="11"/>
        <v>3.2560032560033925E-3</v>
      </c>
      <c r="J352" s="44">
        <v>533.71</v>
      </c>
      <c r="K352" s="44">
        <v>544.24</v>
      </c>
      <c r="L352" s="44">
        <v>533.08500000000004</v>
      </c>
      <c r="M352" s="44">
        <v>536.87</v>
      </c>
      <c r="N352" s="44">
        <v>2016530</v>
      </c>
      <c r="O352" s="44" t="s">
        <v>1685</v>
      </c>
      <c r="P352" s="25">
        <f t="shared" si="12"/>
        <v>-5.8859686702552594E-3</v>
      </c>
    </row>
    <row r="353" spans="2:16">
      <c r="B353" s="44">
        <v>564.15</v>
      </c>
      <c r="C353" s="44">
        <v>564.54999999999995</v>
      </c>
      <c r="D353" s="44">
        <v>560.96</v>
      </c>
      <c r="E353" s="44">
        <v>561.52</v>
      </c>
      <c r="F353" s="44">
        <v>6081444</v>
      </c>
      <c r="G353" s="44" t="s">
        <v>1686</v>
      </c>
      <c r="H353" s="25">
        <f t="shared" si="11"/>
        <v>4.6837156290069348E-3</v>
      </c>
      <c r="J353" s="44">
        <v>534.19000000000005</v>
      </c>
      <c r="K353" s="44">
        <v>539.63419999999996</v>
      </c>
      <c r="L353" s="44">
        <v>525.84</v>
      </c>
      <c r="M353" s="44">
        <v>527.01</v>
      </c>
      <c r="N353" s="44">
        <v>1966309</v>
      </c>
      <c r="O353" s="44" t="s">
        <v>1686</v>
      </c>
      <c r="P353" s="25">
        <f t="shared" si="12"/>
        <v>1.3624029904556023E-2</v>
      </c>
    </row>
    <row r="354" spans="2:16">
      <c r="B354" s="44">
        <v>559.72</v>
      </c>
      <c r="C354" s="44">
        <v>561.02</v>
      </c>
      <c r="D354" s="44">
        <v>558.34</v>
      </c>
      <c r="E354" s="44">
        <v>560.52</v>
      </c>
      <c r="F354" s="44">
        <v>16472305</v>
      </c>
      <c r="G354" s="44" t="s">
        <v>1687</v>
      </c>
      <c r="H354" s="25">
        <f t="shared" si="11"/>
        <v>-1.4272461285947946E-3</v>
      </c>
      <c r="J354" s="44">
        <v>521.63</v>
      </c>
      <c r="K354" s="44">
        <v>528.14</v>
      </c>
      <c r="L354" s="44">
        <v>521.26</v>
      </c>
      <c r="M354" s="44">
        <v>524.29999999999995</v>
      </c>
      <c r="N354" s="44">
        <v>1178142</v>
      </c>
      <c r="O354" s="44" t="s">
        <v>1687</v>
      </c>
      <c r="P354" s="25">
        <f t="shared" si="12"/>
        <v>-5.0925042914361507E-3</v>
      </c>
    </row>
    <row r="355" spans="2:16">
      <c r="B355" s="44">
        <v>559.44000000000005</v>
      </c>
      <c r="C355" s="44">
        <v>560.42999999999995</v>
      </c>
      <c r="D355" s="44">
        <v>556.37</v>
      </c>
      <c r="E355" s="44">
        <v>557.17999999999995</v>
      </c>
      <c r="F355" s="44">
        <v>6770036</v>
      </c>
      <c r="G355" s="44" t="s">
        <v>1688</v>
      </c>
      <c r="H355" s="25">
        <f t="shared" si="11"/>
        <v>4.0561398470873034E-3</v>
      </c>
      <c r="J355" s="44">
        <v>523.08000000000004</v>
      </c>
      <c r="K355" s="44">
        <v>523.97</v>
      </c>
      <c r="L355" s="44">
        <v>510.78</v>
      </c>
      <c r="M355" s="44">
        <v>518.80499999999995</v>
      </c>
      <c r="N355" s="44">
        <v>1593846</v>
      </c>
      <c r="O355" s="44" t="s">
        <v>1688</v>
      </c>
      <c r="P355" s="25">
        <f t="shared" si="12"/>
        <v>8.2400902073034299E-3</v>
      </c>
    </row>
    <row r="356" spans="2:16">
      <c r="B356" s="44">
        <v>553.36</v>
      </c>
      <c r="C356" s="44">
        <v>553.70000000000005</v>
      </c>
      <c r="D356" s="44">
        <v>545.75</v>
      </c>
      <c r="E356" s="44">
        <v>548.66</v>
      </c>
      <c r="F356" s="44">
        <v>9691151</v>
      </c>
      <c r="G356" s="44" t="s">
        <v>1689</v>
      </c>
      <c r="H356" s="25">
        <f t="shared" si="11"/>
        <v>8.5663252287391245E-3</v>
      </c>
      <c r="J356" s="44">
        <v>515.09</v>
      </c>
      <c r="K356" s="44">
        <v>515.36</v>
      </c>
      <c r="L356" s="44">
        <v>503.18</v>
      </c>
      <c r="M356" s="44">
        <v>508</v>
      </c>
      <c r="N356" s="44">
        <v>1204977</v>
      </c>
      <c r="O356" s="44" t="s">
        <v>1689</v>
      </c>
      <c r="P356" s="25">
        <f t="shared" si="12"/>
        <v>1.395669291338586E-2</v>
      </c>
    </row>
    <row r="357" spans="2:16">
      <c r="B357" s="44">
        <v>547.72</v>
      </c>
      <c r="C357" s="44">
        <v>552.72</v>
      </c>
      <c r="D357" s="44">
        <v>546.62</v>
      </c>
      <c r="E357" s="44">
        <v>551.72</v>
      </c>
      <c r="F357" s="44">
        <v>9942858</v>
      </c>
      <c r="G357" s="44" t="s">
        <v>1690</v>
      </c>
      <c r="H357" s="25">
        <f t="shared" si="11"/>
        <v>-7.2500543754078217E-3</v>
      </c>
      <c r="J357" s="44">
        <v>509.36</v>
      </c>
      <c r="K357" s="44">
        <v>515.01</v>
      </c>
      <c r="L357" s="44">
        <v>508.76</v>
      </c>
      <c r="M357" s="44">
        <v>514.70000000000005</v>
      </c>
      <c r="N357" s="44">
        <v>2823803</v>
      </c>
      <c r="O357" s="44" t="s">
        <v>1690</v>
      </c>
      <c r="P357" s="25">
        <f t="shared" si="12"/>
        <v>-1.037497571400825E-2</v>
      </c>
    </row>
    <row r="358" spans="2:16">
      <c r="B358" s="44">
        <v>549.24</v>
      </c>
      <c r="C358" s="44">
        <v>552.71</v>
      </c>
      <c r="D358" s="44">
        <v>548.39</v>
      </c>
      <c r="E358" s="44">
        <v>550.16</v>
      </c>
      <c r="F358" s="44">
        <v>4602329</v>
      </c>
      <c r="G358" s="44" t="s">
        <v>1691</v>
      </c>
      <c r="H358" s="25">
        <f t="shared" si="11"/>
        <v>-1.6722408026754731E-3</v>
      </c>
      <c r="J358" s="44">
        <v>509.49</v>
      </c>
      <c r="K358" s="44">
        <v>513.96</v>
      </c>
      <c r="L358" s="44">
        <v>506.53500000000003</v>
      </c>
      <c r="M358" s="44">
        <v>512.11</v>
      </c>
      <c r="N358" s="44">
        <v>1174182</v>
      </c>
      <c r="O358" s="44" t="s">
        <v>1691</v>
      </c>
      <c r="P358" s="25">
        <f t="shared" si="12"/>
        <v>-5.1160883403956747E-3</v>
      </c>
    </row>
    <row r="359" spans="2:16">
      <c r="B359" s="44">
        <v>549.35</v>
      </c>
      <c r="C359" s="44">
        <v>553.16</v>
      </c>
      <c r="D359" s="44">
        <v>548.63499999999999</v>
      </c>
      <c r="E359" s="44">
        <v>551.79</v>
      </c>
      <c r="F359" s="44">
        <v>4753344</v>
      </c>
      <c r="G359" s="44" t="s">
        <v>1692</v>
      </c>
      <c r="H359" s="25">
        <f t="shared" si="11"/>
        <v>-4.4219721270771783E-3</v>
      </c>
      <c r="J359" s="44">
        <v>512.11</v>
      </c>
      <c r="K359" s="44">
        <v>517.72</v>
      </c>
      <c r="L359" s="44">
        <v>508.99</v>
      </c>
      <c r="M359" s="44">
        <v>515.80999999999995</v>
      </c>
      <c r="N359" s="44">
        <v>1506320</v>
      </c>
      <c r="O359" s="44" t="s">
        <v>1692</v>
      </c>
      <c r="P359" s="25">
        <f t="shared" si="12"/>
        <v>-7.1731839243130979E-3</v>
      </c>
    </row>
    <row r="360" spans="2:16">
      <c r="B360" s="44">
        <v>554.07000000000005</v>
      </c>
      <c r="C360" s="44">
        <v>555.69000000000005</v>
      </c>
      <c r="D360" s="44">
        <v>551.87</v>
      </c>
      <c r="E360" s="44">
        <v>551.94000000000005</v>
      </c>
      <c r="F360" s="44">
        <v>7421327</v>
      </c>
      <c r="G360" s="44" t="s">
        <v>1693</v>
      </c>
      <c r="H360" s="25">
        <f t="shared" si="11"/>
        <v>3.8591151212088448E-3</v>
      </c>
      <c r="J360" s="44">
        <v>519.04</v>
      </c>
      <c r="K360" s="44">
        <v>523.53</v>
      </c>
      <c r="L360" s="44">
        <v>514</v>
      </c>
      <c r="M360" s="44">
        <v>514</v>
      </c>
      <c r="N360" s="44">
        <v>1514611</v>
      </c>
      <c r="O360" s="44" t="s">
        <v>1693</v>
      </c>
      <c r="P360" s="25">
        <f t="shared" si="12"/>
        <v>9.8054474708171302E-3</v>
      </c>
    </row>
    <row r="361" spans="2:16">
      <c r="B361" s="44">
        <v>548.77</v>
      </c>
      <c r="C361" s="44">
        <v>553.245</v>
      </c>
      <c r="D361" s="44">
        <v>547.41</v>
      </c>
      <c r="E361" s="44">
        <v>550.24</v>
      </c>
      <c r="F361" s="44">
        <v>7062316</v>
      </c>
      <c r="G361" s="44" t="s">
        <v>1694</v>
      </c>
      <c r="H361" s="25">
        <f t="shared" si="11"/>
        <v>-2.671561500436237E-3</v>
      </c>
      <c r="J361" s="44">
        <v>512.17999999999995</v>
      </c>
      <c r="K361" s="44">
        <v>518.16999999999996</v>
      </c>
      <c r="L361" s="44">
        <v>500.29</v>
      </c>
      <c r="M361" s="44">
        <v>503.29</v>
      </c>
      <c r="N361" s="44">
        <v>2149299</v>
      </c>
      <c r="O361" s="44" t="s">
        <v>1694</v>
      </c>
      <c r="P361" s="25">
        <f t="shared" si="12"/>
        <v>1.7663772377754183E-2</v>
      </c>
    </row>
    <row r="362" spans="2:16">
      <c r="B362" s="44">
        <v>554.95000000000005</v>
      </c>
      <c r="C362" s="44">
        <v>555</v>
      </c>
      <c r="D362" s="44">
        <v>551.13220000000001</v>
      </c>
      <c r="E362" s="44">
        <v>551.6</v>
      </c>
      <c r="F362" s="44">
        <v>8422943</v>
      </c>
      <c r="G362" s="44" t="s">
        <v>1695</v>
      </c>
      <c r="H362" s="25">
        <f t="shared" si="11"/>
        <v>6.0732414793329692E-3</v>
      </c>
      <c r="J362" s="44">
        <v>513</v>
      </c>
      <c r="K362" s="44">
        <v>522</v>
      </c>
      <c r="L362" s="44">
        <v>511.76010000000002</v>
      </c>
      <c r="M362" s="44">
        <v>520.255</v>
      </c>
      <c r="N362" s="44">
        <v>2392799</v>
      </c>
      <c r="O362" s="44" t="s">
        <v>1695</v>
      </c>
      <c r="P362" s="25">
        <f t="shared" si="12"/>
        <v>-1.3945084621964199E-2</v>
      </c>
    </row>
    <row r="363" spans="2:16">
      <c r="B363" s="44">
        <v>552.86</v>
      </c>
      <c r="C363" s="44">
        <v>556.22500000000002</v>
      </c>
      <c r="D363" s="44">
        <v>550.91</v>
      </c>
      <c r="E363" s="44">
        <v>555.41</v>
      </c>
      <c r="F363" s="44">
        <v>20800557</v>
      </c>
      <c r="G363" s="44" t="s">
        <v>185</v>
      </c>
      <c r="H363" s="25">
        <f t="shared" si="11"/>
        <v>-4.5912028951584638E-3</v>
      </c>
      <c r="J363" s="44">
        <v>522.41</v>
      </c>
      <c r="K363" s="44">
        <v>529.34010000000001</v>
      </c>
      <c r="L363" s="44">
        <v>521.5</v>
      </c>
      <c r="M363" s="44">
        <v>529.14</v>
      </c>
      <c r="N363" s="44">
        <v>1657880</v>
      </c>
      <c r="O363" s="44" t="s">
        <v>185</v>
      </c>
      <c r="P363" s="25">
        <f t="shared" si="12"/>
        <v>-1.2718751181161947E-2</v>
      </c>
    </row>
    <row r="364" spans="2:16">
      <c r="B364" s="44">
        <v>554.39</v>
      </c>
      <c r="C364" s="44">
        <v>554.74</v>
      </c>
      <c r="D364" s="44">
        <v>550.74</v>
      </c>
      <c r="E364" s="44">
        <v>551.78</v>
      </c>
      <c r="F364" s="44">
        <v>5951290</v>
      </c>
      <c r="G364" s="44" t="s">
        <v>186</v>
      </c>
      <c r="H364" s="25">
        <f t="shared" si="11"/>
        <v>4.7301460727102729E-3</v>
      </c>
      <c r="J364" s="44">
        <v>529.6</v>
      </c>
      <c r="K364" s="44">
        <v>531.92999999999995</v>
      </c>
      <c r="L364" s="44">
        <v>520.29999999999995</v>
      </c>
      <c r="M364" s="44">
        <v>525.80999999999995</v>
      </c>
      <c r="N364" s="44">
        <v>2027596</v>
      </c>
      <c r="O364" s="44" t="s">
        <v>186</v>
      </c>
      <c r="P364" s="25">
        <f t="shared" ref="P364:P427" si="13">J364/M364-1</f>
        <v>7.2079268176719058E-3</v>
      </c>
    </row>
    <row r="365" spans="2:16">
      <c r="B365" s="44">
        <v>551.25</v>
      </c>
      <c r="C365" s="44">
        <v>552.70000000000005</v>
      </c>
      <c r="D365" s="44">
        <v>550.20000000000005</v>
      </c>
      <c r="E365" s="44">
        <v>551.29999999999995</v>
      </c>
      <c r="F365" s="44">
        <v>4482378</v>
      </c>
      <c r="G365" s="44" t="s">
        <v>187</v>
      </c>
      <c r="H365" s="25">
        <f t="shared" si="11"/>
        <v>-9.0694721567086134E-5</v>
      </c>
      <c r="J365" s="44">
        <v>526.15</v>
      </c>
      <c r="K365" s="44">
        <v>531.58749999999998</v>
      </c>
      <c r="L365" s="44">
        <v>498.16719999999998</v>
      </c>
      <c r="M365" s="44">
        <v>531.5</v>
      </c>
      <c r="N365" s="44">
        <v>4806226</v>
      </c>
      <c r="O365" s="44" t="s">
        <v>187</v>
      </c>
      <c r="P365" s="25">
        <f t="shared" si="13"/>
        <v>-1.0065851364064016E-2</v>
      </c>
    </row>
    <row r="366" spans="2:16">
      <c r="B366" s="44">
        <v>550.66</v>
      </c>
      <c r="C366" s="44">
        <v>552.32000000000005</v>
      </c>
      <c r="D366" s="44">
        <v>548.69989999999996</v>
      </c>
      <c r="E366" s="44">
        <v>550.29999999999995</v>
      </c>
      <c r="F366" s="44">
        <v>4712599</v>
      </c>
      <c r="G366" s="44" t="s">
        <v>188</v>
      </c>
      <c r="H366" s="25">
        <f t="shared" si="11"/>
        <v>6.5418862438670899E-4</v>
      </c>
      <c r="J366" s="44">
        <v>557.08000000000004</v>
      </c>
      <c r="K366" s="44">
        <v>564.15</v>
      </c>
      <c r="L366" s="44">
        <v>555.76</v>
      </c>
      <c r="M366" s="44">
        <v>562.17999999999995</v>
      </c>
      <c r="N366" s="44">
        <v>1075298</v>
      </c>
      <c r="O366" s="44" t="s">
        <v>188</v>
      </c>
      <c r="P366" s="25">
        <f t="shared" si="13"/>
        <v>-9.0718275285494032E-3</v>
      </c>
    </row>
    <row r="367" spans="2:16">
      <c r="B367" s="44">
        <v>545.09</v>
      </c>
      <c r="C367" s="44">
        <v>550.63</v>
      </c>
      <c r="D367" s="44">
        <v>543.33749999999998</v>
      </c>
      <c r="E367" s="44">
        <v>549.48</v>
      </c>
      <c r="F367" s="44">
        <v>6334538</v>
      </c>
      <c r="G367" s="44" t="s">
        <v>189</v>
      </c>
      <c r="H367" s="25">
        <f t="shared" si="11"/>
        <v>-7.9893717696730704E-3</v>
      </c>
      <c r="J367" s="44">
        <v>558.05999999999995</v>
      </c>
      <c r="K367" s="44">
        <v>563.94420000000002</v>
      </c>
      <c r="L367" s="44">
        <v>557.21</v>
      </c>
      <c r="M367" s="44">
        <v>560.70000000000005</v>
      </c>
      <c r="N367" s="44">
        <v>1243772</v>
      </c>
      <c r="O367" s="44" t="s">
        <v>189</v>
      </c>
      <c r="P367" s="25">
        <f t="shared" si="13"/>
        <v>-4.7084002140184156E-3</v>
      </c>
    </row>
    <row r="368" spans="2:16">
      <c r="B368" s="44">
        <v>547.65</v>
      </c>
      <c r="C368" s="44">
        <v>549.65</v>
      </c>
      <c r="D368" s="44">
        <v>547.44259999999997</v>
      </c>
      <c r="E368" s="44">
        <v>548.75</v>
      </c>
      <c r="F368" s="44">
        <v>4510272</v>
      </c>
      <c r="G368" s="44" t="s">
        <v>190</v>
      </c>
      <c r="H368" s="25">
        <f t="shared" si="11"/>
        <v>-2.0045558086561055E-3</v>
      </c>
      <c r="J368" s="44">
        <v>557.95000000000005</v>
      </c>
      <c r="K368" s="44">
        <v>559.69000000000005</v>
      </c>
      <c r="L368" s="44">
        <v>550.93010000000004</v>
      </c>
      <c r="M368" s="44">
        <v>552.57500000000005</v>
      </c>
      <c r="N368" s="44">
        <v>1147608</v>
      </c>
      <c r="O368" s="44" t="s">
        <v>190</v>
      </c>
      <c r="P368" s="25">
        <f t="shared" si="13"/>
        <v>9.7271863547934156E-3</v>
      </c>
    </row>
    <row r="369" spans="2:16">
      <c r="B369" s="44">
        <v>548</v>
      </c>
      <c r="C369" s="44">
        <v>548.87</v>
      </c>
      <c r="D369" s="44">
        <v>544.09</v>
      </c>
      <c r="E369" s="44">
        <v>544.53</v>
      </c>
      <c r="F369" s="44">
        <v>4968649</v>
      </c>
      <c r="G369" s="44" t="s">
        <v>191</v>
      </c>
      <c r="H369" s="25">
        <f t="shared" si="11"/>
        <v>6.3724679999266343E-3</v>
      </c>
      <c r="J369" s="44">
        <v>551.85</v>
      </c>
      <c r="K369" s="44">
        <v>555.13</v>
      </c>
      <c r="L369" s="44">
        <v>548.01499999999999</v>
      </c>
      <c r="M369" s="44">
        <v>550.67999999999995</v>
      </c>
      <c r="N369" s="44">
        <v>1714425</v>
      </c>
      <c r="O369" s="44" t="s">
        <v>191</v>
      </c>
      <c r="P369" s="25">
        <f t="shared" si="13"/>
        <v>2.1246458923513956E-3</v>
      </c>
    </row>
    <row r="370" spans="2:16">
      <c r="B370" s="44">
        <v>544.91</v>
      </c>
      <c r="C370" s="44">
        <v>544.91</v>
      </c>
      <c r="D370" s="44">
        <v>537.79999999999995</v>
      </c>
      <c r="E370" s="44">
        <v>540.25</v>
      </c>
      <c r="F370" s="44">
        <v>5900870</v>
      </c>
      <c r="G370" s="44" t="s">
        <v>192</v>
      </c>
      <c r="H370" s="25">
        <f t="shared" si="11"/>
        <v>8.6256362795000818E-3</v>
      </c>
      <c r="J370" s="44">
        <v>553.29</v>
      </c>
      <c r="K370" s="44">
        <v>554.697</v>
      </c>
      <c r="L370" s="44">
        <v>542.52</v>
      </c>
      <c r="M370" s="44">
        <v>549.05999999999995</v>
      </c>
      <c r="N370" s="44">
        <v>1059656</v>
      </c>
      <c r="O370" s="44" t="s">
        <v>192</v>
      </c>
      <c r="P370" s="25">
        <f t="shared" si="13"/>
        <v>7.704076057261533E-3</v>
      </c>
    </row>
    <row r="371" spans="2:16">
      <c r="B371" s="44">
        <v>541.76</v>
      </c>
      <c r="C371" s="44">
        <v>543.39</v>
      </c>
      <c r="D371" s="44">
        <v>536.16</v>
      </c>
      <c r="E371" s="44">
        <v>541.35</v>
      </c>
      <c r="F371" s="44">
        <v>6160101</v>
      </c>
      <c r="G371" s="44" t="s">
        <v>193</v>
      </c>
      <c r="H371" s="25">
        <f t="shared" si="11"/>
        <v>7.5736584464758394E-4</v>
      </c>
      <c r="J371" s="44">
        <v>552.34</v>
      </c>
      <c r="K371" s="44">
        <v>555</v>
      </c>
      <c r="L371" s="44">
        <v>545.73</v>
      </c>
      <c r="M371" s="44">
        <v>554.52</v>
      </c>
      <c r="N371" s="44">
        <v>2091285</v>
      </c>
      <c r="O371" s="44" t="s">
        <v>193</v>
      </c>
      <c r="P371" s="25">
        <f t="shared" si="13"/>
        <v>-3.9313279953833158E-3</v>
      </c>
    </row>
    <row r="372" spans="2:16">
      <c r="B372" s="44">
        <v>542.32000000000005</v>
      </c>
      <c r="C372" s="44">
        <v>545.28</v>
      </c>
      <c r="D372" s="44">
        <v>538.74</v>
      </c>
      <c r="E372" s="44">
        <v>545.15</v>
      </c>
      <c r="F372" s="44">
        <v>4668939</v>
      </c>
      <c r="G372" s="44" t="s">
        <v>194</v>
      </c>
      <c r="H372" s="25">
        <f t="shared" si="11"/>
        <v>-5.1912317710720579E-3</v>
      </c>
      <c r="J372" s="44">
        <v>555.75</v>
      </c>
      <c r="K372" s="44">
        <v>559.79999999999995</v>
      </c>
      <c r="L372" s="44">
        <v>551.4</v>
      </c>
      <c r="M372" s="44">
        <v>556.47</v>
      </c>
      <c r="N372" s="44">
        <v>1139292</v>
      </c>
      <c r="O372" s="44" t="s">
        <v>194</v>
      </c>
      <c r="P372" s="25">
        <f t="shared" si="13"/>
        <v>-1.2938702895035625E-3</v>
      </c>
    </row>
    <row r="373" spans="2:16">
      <c r="B373" s="44">
        <v>540.24</v>
      </c>
      <c r="C373" s="44">
        <v>544.9</v>
      </c>
      <c r="D373" s="44">
        <v>539.61</v>
      </c>
      <c r="E373" s="44">
        <v>543.79</v>
      </c>
      <c r="F373" s="44">
        <v>4806244</v>
      </c>
      <c r="G373" s="44" t="s">
        <v>195</v>
      </c>
      <c r="H373" s="25">
        <f t="shared" si="11"/>
        <v>-6.5282553927066278E-3</v>
      </c>
      <c r="J373" s="44">
        <v>552.41</v>
      </c>
      <c r="K373" s="44">
        <v>556.16</v>
      </c>
      <c r="L373" s="44">
        <v>549.42999999999995</v>
      </c>
      <c r="M373" s="44">
        <v>550.51</v>
      </c>
      <c r="N373" s="44">
        <v>1012083</v>
      </c>
      <c r="O373" s="44" t="s">
        <v>195</v>
      </c>
      <c r="P373" s="25">
        <f t="shared" si="13"/>
        <v>3.4513451163467046E-3</v>
      </c>
    </row>
    <row r="374" spans="2:16">
      <c r="B374" s="44">
        <v>543.34</v>
      </c>
      <c r="C374" s="44">
        <v>543.52</v>
      </c>
      <c r="D374" s="44">
        <v>537.17999999999995</v>
      </c>
      <c r="E374" s="44">
        <v>538.72</v>
      </c>
      <c r="F374" s="44">
        <v>6086299</v>
      </c>
      <c r="G374" s="44" t="s">
        <v>196</v>
      </c>
      <c r="H374" s="25">
        <f t="shared" si="11"/>
        <v>8.5758835758835694E-3</v>
      </c>
      <c r="J374" s="44">
        <v>550.19000000000005</v>
      </c>
      <c r="K374" s="44">
        <v>553.16</v>
      </c>
      <c r="L374" s="44">
        <v>547.08579999999995</v>
      </c>
      <c r="M374" s="44">
        <v>548.66</v>
      </c>
      <c r="N374" s="44">
        <v>1244613</v>
      </c>
      <c r="O374" s="44" t="s">
        <v>196</v>
      </c>
      <c r="P374" s="25">
        <f t="shared" si="13"/>
        <v>2.7886122553131276E-3</v>
      </c>
    </row>
    <row r="375" spans="2:16">
      <c r="B375" s="44">
        <v>532.4</v>
      </c>
      <c r="C375" s="44">
        <v>534.80989999999997</v>
      </c>
      <c r="D375" s="44">
        <v>529.11</v>
      </c>
      <c r="E375" s="44">
        <v>529.42999999999995</v>
      </c>
      <c r="F375" s="44">
        <v>6455875</v>
      </c>
      <c r="G375" s="44" t="s">
        <v>197</v>
      </c>
      <c r="H375" s="25">
        <f t="shared" si="11"/>
        <v>5.6098067733223456E-3</v>
      </c>
      <c r="J375" s="44">
        <v>539.54</v>
      </c>
      <c r="K375" s="44">
        <v>542.06629999999996</v>
      </c>
      <c r="L375" s="44">
        <v>529.15</v>
      </c>
      <c r="M375" s="44">
        <v>535.5</v>
      </c>
      <c r="N375" s="44">
        <v>1138633</v>
      </c>
      <c r="O375" s="44" t="s">
        <v>197</v>
      </c>
      <c r="P375" s="25">
        <f t="shared" si="13"/>
        <v>7.5443510737627228E-3</v>
      </c>
    </row>
    <row r="376" spans="2:16">
      <c r="B376" s="44">
        <v>536.02</v>
      </c>
      <c r="C376" s="44">
        <v>539.22500000000002</v>
      </c>
      <c r="D376" s="44">
        <v>534.44000000000005</v>
      </c>
      <c r="E376" s="44">
        <v>535.6</v>
      </c>
      <c r="F376" s="44">
        <v>5816572</v>
      </c>
      <c r="G376" s="44" t="s">
        <v>198</v>
      </c>
      <c r="H376" s="25">
        <f t="shared" si="11"/>
        <v>7.8416728902164223E-4</v>
      </c>
      <c r="J376" s="44">
        <v>542.66999999999996</v>
      </c>
      <c r="K376" s="44">
        <v>546.03560000000004</v>
      </c>
      <c r="L376" s="44">
        <v>540.78499999999997</v>
      </c>
      <c r="M376" s="44">
        <v>544.80999999999995</v>
      </c>
      <c r="N376" s="44">
        <v>1129129</v>
      </c>
      <c r="O376" s="44" t="s">
        <v>198</v>
      </c>
      <c r="P376" s="25">
        <f t="shared" si="13"/>
        <v>-3.9279748903287004E-3</v>
      </c>
    </row>
    <row r="377" spans="2:16">
      <c r="B377" s="44">
        <v>535.77</v>
      </c>
      <c r="C377" s="44">
        <v>544.69050000000004</v>
      </c>
      <c r="D377" s="44">
        <v>534.82000000000005</v>
      </c>
      <c r="E377" s="44">
        <v>540.91</v>
      </c>
      <c r="F377" s="44">
        <v>6339491</v>
      </c>
      <c r="G377" s="44" t="s">
        <v>199</v>
      </c>
      <c r="H377" s="25">
        <f t="shared" si="11"/>
        <v>-9.5025050378065856E-3</v>
      </c>
      <c r="J377" s="44">
        <v>547.07000000000005</v>
      </c>
      <c r="K377" s="44">
        <v>558.76</v>
      </c>
      <c r="L377" s="44">
        <v>545.52499999999998</v>
      </c>
      <c r="M377" s="44">
        <v>556.55999999999995</v>
      </c>
      <c r="N377" s="44">
        <v>1507978</v>
      </c>
      <c r="O377" s="44" t="s">
        <v>199</v>
      </c>
      <c r="P377" s="25">
        <f t="shared" si="13"/>
        <v>-1.7051171481960448E-2</v>
      </c>
    </row>
    <row r="378" spans="2:16">
      <c r="B378" s="44">
        <v>544.88</v>
      </c>
      <c r="C378" s="44">
        <v>546.05999999999995</v>
      </c>
      <c r="D378" s="44">
        <v>541.99</v>
      </c>
      <c r="E378" s="44">
        <v>545.22</v>
      </c>
      <c r="F378" s="44">
        <v>7158205</v>
      </c>
      <c r="G378" s="44" t="s">
        <v>200</v>
      </c>
      <c r="H378" s="25">
        <f t="shared" si="11"/>
        <v>-6.2360148197060372E-4</v>
      </c>
      <c r="J378" s="44">
        <v>557.16</v>
      </c>
      <c r="K378" s="44">
        <v>558</v>
      </c>
      <c r="L378" s="44">
        <v>553</v>
      </c>
      <c r="M378" s="44">
        <v>557.29</v>
      </c>
      <c r="N378" s="44">
        <v>1234950</v>
      </c>
      <c r="O378" s="44" t="s">
        <v>200</v>
      </c>
      <c r="P378" s="25">
        <f t="shared" si="13"/>
        <v>-2.3327172567244592E-4</v>
      </c>
    </row>
    <row r="379" spans="2:16">
      <c r="B379" s="44">
        <v>546.82000000000005</v>
      </c>
      <c r="C379" s="44">
        <v>547.45000000000005</v>
      </c>
      <c r="D379" s="44">
        <v>540.58000000000004</v>
      </c>
      <c r="E379" s="44">
        <v>540.63</v>
      </c>
      <c r="F379" s="44">
        <v>7766058</v>
      </c>
      <c r="G379" s="44" t="s">
        <v>201</v>
      </c>
      <c r="H379" s="25">
        <f t="shared" si="11"/>
        <v>1.144960509035764E-2</v>
      </c>
      <c r="J379" s="44">
        <v>561.63</v>
      </c>
      <c r="K379" s="44">
        <v>562.60500000000002</v>
      </c>
      <c r="L379" s="44">
        <v>553.94000000000005</v>
      </c>
      <c r="M379" s="44">
        <v>554.34</v>
      </c>
      <c r="N379" s="44">
        <v>1420405</v>
      </c>
      <c r="O379" s="44" t="s">
        <v>201</v>
      </c>
      <c r="P379" s="25">
        <f t="shared" si="13"/>
        <v>1.3150773893278345E-2</v>
      </c>
    </row>
    <row r="380" spans="2:16">
      <c r="B380" s="44">
        <v>546.26</v>
      </c>
      <c r="C380" s="44">
        <v>546.47</v>
      </c>
      <c r="D380" s="44">
        <v>541.70000000000005</v>
      </c>
      <c r="E380" s="44">
        <v>543.47</v>
      </c>
      <c r="F380" s="44">
        <v>7255342</v>
      </c>
      <c r="G380" s="44" t="s">
        <v>202</v>
      </c>
      <c r="H380" s="25">
        <f t="shared" si="11"/>
        <v>5.1336780319060082E-3</v>
      </c>
      <c r="J380" s="44">
        <v>563.6</v>
      </c>
      <c r="K380" s="44">
        <v>563.94000000000005</v>
      </c>
      <c r="L380" s="44">
        <v>555.62</v>
      </c>
      <c r="M380" s="44">
        <v>563.57500000000005</v>
      </c>
      <c r="N380" s="44">
        <v>1422892</v>
      </c>
      <c r="O380" s="44" t="s">
        <v>202</v>
      </c>
      <c r="P380" s="25">
        <f t="shared" si="13"/>
        <v>4.435966818960857E-5</v>
      </c>
    </row>
    <row r="381" spans="2:16">
      <c r="B381" s="44">
        <v>542.76</v>
      </c>
      <c r="C381" s="44">
        <v>543.24890000000005</v>
      </c>
      <c r="D381" s="44">
        <v>537.84</v>
      </c>
      <c r="E381" s="44">
        <v>538.26</v>
      </c>
      <c r="F381" s="44">
        <v>7362193</v>
      </c>
      <c r="G381" s="44" t="s">
        <v>203</v>
      </c>
      <c r="H381" s="25">
        <f t="shared" si="11"/>
        <v>8.360271987515322E-3</v>
      </c>
      <c r="J381" s="44">
        <v>560.28</v>
      </c>
      <c r="K381" s="44">
        <v>564.05999999999995</v>
      </c>
      <c r="L381" s="44">
        <v>549.54999999999995</v>
      </c>
      <c r="M381" s="44">
        <v>559.32000000000005</v>
      </c>
      <c r="N381" s="44">
        <v>1794742</v>
      </c>
      <c r="O381" s="44" t="s">
        <v>203</v>
      </c>
      <c r="P381" s="25">
        <f t="shared" si="13"/>
        <v>1.7163698777085123E-3</v>
      </c>
    </row>
    <row r="382" spans="2:16">
      <c r="B382" s="44">
        <v>540.11</v>
      </c>
      <c r="C382" s="44">
        <v>541.41999999999996</v>
      </c>
      <c r="D382" s="44">
        <v>538.24</v>
      </c>
      <c r="E382" s="44">
        <v>540.37</v>
      </c>
      <c r="F382" s="44">
        <v>5031301</v>
      </c>
      <c r="G382" s="44" t="s">
        <v>204</v>
      </c>
      <c r="H382" s="25">
        <f t="shared" si="11"/>
        <v>-4.8115180339391994E-4</v>
      </c>
      <c r="J382" s="44">
        <v>565.94000000000005</v>
      </c>
      <c r="K382" s="44">
        <v>566.79999999999995</v>
      </c>
      <c r="L382" s="44">
        <v>560.29</v>
      </c>
      <c r="M382" s="44">
        <v>563</v>
      </c>
      <c r="N382" s="44">
        <v>1409900</v>
      </c>
      <c r="O382" s="44" t="s">
        <v>204</v>
      </c>
      <c r="P382" s="25">
        <f t="shared" si="13"/>
        <v>5.2220248667851354E-3</v>
      </c>
    </row>
    <row r="383" spans="2:16">
      <c r="B383" s="44">
        <v>539.44000000000005</v>
      </c>
      <c r="C383" s="44">
        <v>541.48</v>
      </c>
      <c r="D383" s="44">
        <v>535.78</v>
      </c>
      <c r="E383" s="44">
        <v>536.33000000000004</v>
      </c>
      <c r="F383" s="44">
        <v>7356804</v>
      </c>
      <c r="G383" s="44" t="s">
        <v>205</v>
      </c>
      <c r="H383" s="25">
        <f t="shared" si="11"/>
        <v>5.7986687300728423E-3</v>
      </c>
      <c r="J383" s="44">
        <v>563.95000000000005</v>
      </c>
      <c r="K383" s="44">
        <v>568.69000000000005</v>
      </c>
      <c r="L383" s="44">
        <v>559.88</v>
      </c>
      <c r="M383" s="44">
        <v>561.66999999999996</v>
      </c>
      <c r="N383" s="44">
        <v>1529396</v>
      </c>
      <c r="O383" s="44" t="s">
        <v>205</v>
      </c>
      <c r="P383" s="25">
        <f t="shared" si="13"/>
        <v>4.0593230900707322E-3</v>
      </c>
    </row>
    <row r="384" spans="2:16">
      <c r="B384" s="44">
        <v>535.91999999999996</v>
      </c>
      <c r="C384" s="44">
        <v>535.91999999999996</v>
      </c>
      <c r="D384" s="44">
        <v>530.39</v>
      </c>
      <c r="E384" s="44">
        <v>534.5</v>
      </c>
      <c r="F384" s="44">
        <v>7793576</v>
      </c>
      <c r="G384" s="44" t="s">
        <v>206</v>
      </c>
      <c r="H384" s="25">
        <f t="shared" si="11"/>
        <v>2.6566884939194235E-3</v>
      </c>
      <c r="J384" s="44">
        <v>561.42999999999995</v>
      </c>
      <c r="K384" s="44">
        <v>561.61500000000001</v>
      </c>
      <c r="L384" s="44">
        <v>547.67999999999995</v>
      </c>
      <c r="M384" s="44">
        <v>551.97</v>
      </c>
      <c r="N384" s="44">
        <v>2037100</v>
      </c>
      <c r="O384" s="44" t="s">
        <v>206</v>
      </c>
      <c r="P384" s="25">
        <f t="shared" si="13"/>
        <v>1.7138612605757331E-2</v>
      </c>
    </row>
    <row r="385" spans="2:16">
      <c r="B385" s="44">
        <v>518.65</v>
      </c>
      <c r="C385" s="44">
        <v>521.63059999999996</v>
      </c>
      <c r="D385" s="44">
        <v>517.36</v>
      </c>
      <c r="E385" s="44">
        <v>520.69000000000005</v>
      </c>
      <c r="F385" s="44">
        <v>4739506</v>
      </c>
      <c r="G385" s="44" t="s">
        <v>207</v>
      </c>
      <c r="H385" s="25">
        <f t="shared" si="11"/>
        <v>-3.9178782000808265E-3</v>
      </c>
      <c r="J385" s="44">
        <v>536.51</v>
      </c>
      <c r="K385" s="44">
        <v>542.74030000000005</v>
      </c>
      <c r="L385" s="44">
        <v>532.9</v>
      </c>
      <c r="M385" s="44">
        <v>540</v>
      </c>
      <c r="N385" s="44">
        <v>925686</v>
      </c>
      <c r="O385" s="44" t="s">
        <v>207</v>
      </c>
      <c r="P385" s="25">
        <f t="shared" si="13"/>
        <v>-6.4629629629630037E-3</v>
      </c>
    </row>
    <row r="386" spans="2:16">
      <c r="B386" s="44">
        <v>519.34</v>
      </c>
      <c r="C386" s="44">
        <v>524.23</v>
      </c>
      <c r="D386" s="44">
        <v>516.34500000000003</v>
      </c>
      <c r="E386" s="44">
        <v>519.54</v>
      </c>
      <c r="F386" s="44">
        <v>5088200</v>
      </c>
      <c r="G386" s="44" t="s">
        <v>208</v>
      </c>
      <c r="H386" s="25">
        <f t="shared" ref="H386:H449" si="14">B386/E386-1</f>
        <v>-3.8495592254672584E-4</v>
      </c>
      <c r="J386" s="44">
        <v>538.16</v>
      </c>
      <c r="K386" s="44">
        <v>546.55899999999997</v>
      </c>
      <c r="L386" s="44">
        <v>538.01</v>
      </c>
      <c r="M386" s="44">
        <v>540</v>
      </c>
      <c r="N386" s="44">
        <v>1472798</v>
      </c>
      <c r="O386" s="44" t="s">
        <v>208</v>
      </c>
      <c r="P386" s="25">
        <f t="shared" si="13"/>
        <v>-3.4074074074074145E-3</v>
      </c>
    </row>
    <row r="387" spans="2:16">
      <c r="B387" s="44">
        <v>515.9</v>
      </c>
      <c r="C387" s="44">
        <v>518.17999999999995</v>
      </c>
      <c r="D387" s="44">
        <v>511.1</v>
      </c>
      <c r="E387" s="44">
        <v>514.91999999999996</v>
      </c>
      <c r="F387" s="44">
        <v>5467344</v>
      </c>
      <c r="G387" s="44" t="s">
        <v>209</v>
      </c>
      <c r="H387" s="25">
        <f t="shared" si="14"/>
        <v>1.9032082653616111E-3</v>
      </c>
      <c r="J387" s="44">
        <v>536.15</v>
      </c>
      <c r="K387" s="44">
        <v>539.04999999999995</v>
      </c>
      <c r="L387" s="44">
        <v>528.87</v>
      </c>
      <c r="M387" s="44">
        <v>532.74</v>
      </c>
      <c r="N387" s="44">
        <v>1311721</v>
      </c>
      <c r="O387" s="44" t="s">
        <v>209</v>
      </c>
      <c r="P387" s="25">
        <f t="shared" si="13"/>
        <v>6.4008709689529208E-3</v>
      </c>
    </row>
    <row r="388" spans="2:16">
      <c r="B388" s="44">
        <v>513.58000000000004</v>
      </c>
      <c r="C388" s="44">
        <v>517.82500000000005</v>
      </c>
      <c r="D388" s="44">
        <v>511.94</v>
      </c>
      <c r="E388" s="44">
        <v>512.89</v>
      </c>
      <c r="F388" s="44">
        <v>4694270</v>
      </c>
      <c r="G388" s="44" t="s">
        <v>210</v>
      </c>
      <c r="H388" s="25">
        <f t="shared" si="14"/>
        <v>1.3453177094504554E-3</v>
      </c>
      <c r="J388" s="44">
        <v>530.46</v>
      </c>
      <c r="K388" s="44">
        <v>533.55999999999995</v>
      </c>
      <c r="L388" s="44">
        <v>523.59</v>
      </c>
      <c r="M388" s="44">
        <v>526.16</v>
      </c>
      <c r="N388" s="44">
        <v>1128128</v>
      </c>
      <c r="O388" s="44" t="s">
        <v>210</v>
      </c>
      <c r="P388" s="25">
        <f t="shared" si="13"/>
        <v>8.1724190360348281E-3</v>
      </c>
    </row>
    <row r="389" spans="2:16">
      <c r="B389" s="44">
        <v>517.99</v>
      </c>
      <c r="C389" s="44">
        <v>520.85</v>
      </c>
      <c r="D389" s="44">
        <v>516.27</v>
      </c>
      <c r="E389" s="44">
        <v>517.08000000000004</v>
      </c>
      <c r="F389" s="44">
        <v>4793497</v>
      </c>
      <c r="G389" s="44" t="s">
        <v>211</v>
      </c>
      <c r="H389" s="25">
        <f t="shared" si="14"/>
        <v>1.7598824166473737E-3</v>
      </c>
      <c r="J389" s="44">
        <v>531.82000000000005</v>
      </c>
      <c r="K389" s="44">
        <v>536.05989999999997</v>
      </c>
      <c r="L389" s="44">
        <v>522.94500000000005</v>
      </c>
      <c r="M389" s="44">
        <v>528.32000000000005</v>
      </c>
      <c r="N389" s="44">
        <v>1375990</v>
      </c>
      <c r="O389" s="44" t="s">
        <v>211</v>
      </c>
      <c r="P389" s="25">
        <f t="shared" si="13"/>
        <v>6.6247728649302395E-3</v>
      </c>
    </row>
    <row r="390" spans="2:16">
      <c r="B390" s="44">
        <v>520.71</v>
      </c>
      <c r="C390" s="44">
        <v>522.41</v>
      </c>
      <c r="D390" s="44">
        <v>516.89</v>
      </c>
      <c r="E390" s="44">
        <v>519.12</v>
      </c>
      <c r="F390" s="44">
        <v>6285390</v>
      </c>
      <c r="G390" s="44" t="s">
        <v>212</v>
      </c>
      <c r="H390" s="25">
        <f t="shared" si="14"/>
        <v>3.0628756356911868E-3</v>
      </c>
      <c r="J390" s="44">
        <v>529.41999999999996</v>
      </c>
      <c r="K390" s="44">
        <v>535.6</v>
      </c>
      <c r="L390" s="44">
        <v>525.02</v>
      </c>
      <c r="M390" s="44">
        <v>526.74</v>
      </c>
      <c r="N390" s="44">
        <v>1440695</v>
      </c>
      <c r="O390" s="44" t="s">
        <v>212</v>
      </c>
      <c r="P390" s="25">
        <f t="shared" si="13"/>
        <v>5.0878991532823381E-3</v>
      </c>
    </row>
    <row r="391" spans="2:16">
      <c r="B391" s="44">
        <v>513.35</v>
      </c>
      <c r="C391" s="44">
        <v>518.44000000000005</v>
      </c>
      <c r="D391" s="44">
        <v>512.77</v>
      </c>
      <c r="E391" s="44">
        <v>515.13</v>
      </c>
      <c r="F391" s="44">
        <v>5784483</v>
      </c>
      <c r="G391" s="44" t="s">
        <v>213</v>
      </c>
      <c r="H391" s="25">
        <f t="shared" si="14"/>
        <v>-3.4554384330168775E-3</v>
      </c>
      <c r="J391" s="44">
        <v>517.17999999999995</v>
      </c>
      <c r="K391" s="44">
        <v>524.44000000000005</v>
      </c>
      <c r="L391" s="44">
        <v>512.66999999999996</v>
      </c>
      <c r="M391" s="44">
        <v>518.12</v>
      </c>
      <c r="N391" s="44">
        <v>1673361</v>
      </c>
      <c r="O391" s="44" t="s">
        <v>213</v>
      </c>
      <c r="P391" s="25">
        <f t="shared" si="13"/>
        <v>-1.8142515247434599E-3</v>
      </c>
    </row>
    <row r="392" spans="2:16">
      <c r="B392" s="44">
        <v>509.74</v>
      </c>
      <c r="C392" s="44">
        <v>511.5</v>
      </c>
      <c r="D392" s="44">
        <v>497.76</v>
      </c>
      <c r="E392" s="44">
        <v>503.26</v>
      </c>
      <c r="F392" s="44">
        <v>7873686</v>
      </c>
      <c r="G392" s="44" t="s">
        <v>214</v>
      </c>
      <c r="H392" s="25">
        <f t="shared" si="14"/>
        <v>1.2876048165957998E-2</v>
      </c>
      <c r="J392" s="44">
        <v>515.79999999999995</v>
      </c>
      <c r="K392" s="44">
        <v>517.6</v>
      </c>
      <c r="L392" s="44">
        <v>501.67</v>
      </c>
      <c r="M392" s="44">
        <v>509.99</v>
      </c>
      <c r="N392" s="44">
        <v>1652193</v>
      </c>
      <c r="O392" s="44" t="s">
        <v>214</v>
      </c>
      <c r="P392" s="25">
        <f t="shared" si="13"/>
        <v>1.13923802427498E-2</v>
      </c>
    </row>
    <row r="393" spans="2:16">
      <c r="B393" s="44">
        <v>509.49</v>
      </c>
      <c r="C393" s="44">
        <v>510.54969999999997</v>
      </c>
      <c r="D393" s="44">
        <v>504.26</v>
      </c>
      <c r="E393" s="44">
        <v>504.54</v>
      </c>
      <c r="F393" s="44">
        <v>6525457</v>
      </c>
      <c r="G393" s="44" t="s">
        <v>215</v>
      </c>
      <c r="H393" s="25">
        <f t="shared" si="14"/>
        <v>9.810916874777087E-3</v>
      </c>
      <c r="J393" s="44">
        <v>514.89</v>
      </c>
      <c r="K393" s="44">
        <v>516.78</v>
      </c>
      <c r="L393" s="44">
        <v>507.51</v>
      </c>
      <c r="M393" s="44">
        <v>512.9</v>
      </c>
      <c r="N393" s="44">
        <v>1321642</v>
      </c>
      <c r="O393" s="44" t="s">
        <v>215</v>
      </c>
      <c r="P393" s="25">
        <f t="shared" si="13"/>
        <v>3.8798986157144721E-3</v>
      </c>
    </row>
    <row r="394" spans="2:16">
      <c r="B394" s="44">
        <v>506.42</v>
      </c>
      <c r="C394" s="44">
        <v>508.74</v>
      </c>
      <c r="D394" s="44">
        <v>500.96</v>
      </c>
      <c r="E394" s="44">
        <v>506.81</v>
      </c>
      <c r="F394" s="44">
        <v>4210016</v>
      </c>
      <c r="G394" s="44" t="s">
        <v>216</v>
      </c>
      <c r="H394" s="25">
        <f t="shared" si="14"/>
        <v>-7.6951914918799158E-4</v>
      </c>
      <c r="J394" s="44">
        <v>514.01</v>
      </c>
      <c r="K394" s="44">
        <v>518.4</v>
      </c>
      <c r="L394" s="44">
        <v>508.17</v>
      </c>
      <c r="M394" s="44">
        <v>515.91</v>
      </c>
      <c r="N394" s="44">
        <v>1388123</v>
      </c>
      <c r="O394" s="44" t="s">
        <v>216</v>
      </c>
      <c r="P394" s="25">
        <f t="shared" si="13"/>
        <v>-3.682812893721743E-3</v>
      </c>
    </row>
    <row r="395" spans="2:16">
      <c r="B395" s="44">
        <v>506.11</v>
      </c>
      <c r="C395" s="44">
        <v>506.52</v>
      </c>
      <c r="D395" s="44">
        <v>499.75</v>
      </c>
      <c r="E395" s="44">
        <v>502.44</v>
      </c>
      <c r="F395" s="44">
        <v>6933423</v>
      </c>
      <c r="G395" s="44" t="s">
        <v>217</v>
      </c>
      <c r="H395" s="25">
        <f t="shared" si="14"/>
        <v>7.3043547488258476E-3</v>
      </c>
      <c r="J395" s="44">
        <v>514.59</v>
      </c>
      <c r="K395" s="44">
        <v>515.36</v>
      </c>
      <c r="L395" s="44">
        <v>505.75170000000003</v>
      </c>
      <c r="M395" s="44">
        <v>513.17999999999995</v>
      </c>
      <c r="N395" s="44">
        <v>2016172</v>
      </c>
      <c r="O395" s="44" t="s">
        <v>217</v>
      </c>
      <c r="P395" s="25">
        <f t="shared" si="13"/>
        <v>2.747573950660831E-3</v>
      </c>
    </row>
    <row r="396" spans="2:16">
      <c r="B396" s="44">
        <v>502.41</v>
      </c>
      <c r="C396" s="44">
        <v>503</v>
      </c>
      <c r="D396" s="44">
        <v>492.22309999999999</v>
      </c>
      <c r="E396" s="44">
        <v>493.26</v>
      </c>
      <c r="F396" s="44">
        <v>6184333</v>
      </c>
      <c r="G396" s="44" t="s">
        <v>218</v>
      </c>
      <c r="H396" s="25">
        <f t="shared" si="14"/>
        <v>1.8550054737866528E-2</v>
      </c>
      <c r="J396" s="44">
        <v>508.13</v>
      </c>
      <c r="K396" s="44">
        <v>511.755</v>
      </c>
      <c r="L396" s="44">
        <v>489.43</v>
      </c>
      <c r="M396" s="44">
        <v>490.82</v>
      </c>
      <c r="N396" s="44">
        <v>2287128</v>
      </c>
      <c r="O396" s="44" t="s">
        <v>218</v>
      </c>
      <c r="P396" s="25">
        <f t="shared" si="13"/>
        <v>3.5267511511348326E-2</v>
      </c>
    </row>
    <row r="397" spans="2:16">
      <c r="B397" s="44">
        <v>492.07</v>
      </c>
      <c r="C397" s="44">
        <v>501.18</v>
      </c>
      <c r="D397" s="44">
        <v>490.7</v>
      </c>
      <c r="E397" s="44">
        <v>496.69</v>
      </c>
      <c r="F397" s="44">
        <v>8047601</v>
      </c>
      <c r="G397" s="44" t="s">
        <v>219</v>
      </c>
      <c r="H397" s="25">
        <f t="shared" si="14"/>
        <v>-9.3015764360063757E-3</v>
      </c>
      <c r="J397" s="44">
        <v>487.93</v>
      </c>
      <c r="K397" s="44">
        <v>517.30999999999995</v>
      </c>
      <c r="L397" s="44">
        <v>485.09</v>
      </c>
      <c r="M397" s="44">
        <v>500</v>
      </c>
      <c r="N397" s="44">
        <v>3769985</v>
      </c>
      <c r="O397" s="44" t="s">
        <v>219</v>
      </c>
      <c r="P397" s="25">
        <f t="shared" si="13"/>
        <v>-2.4139999999999939E-2</v>
      </c>
    </row>
    <row r="398" spans="2:16">
      <c r="B398" s="44">
        <v>484.29</v>
      </c>
      <c r="C398" s="44">
        <v>486.48</v>
      </c>
      <c r="D398" s="44">
        <v>477.19</v>
      </c>
      <c r="E398" s="44">
        <v>478.07</v>
      </c>
      <c r="F398" s="44">
        <v>6236319</v>
      </c>
      <c r="G398" s="44" t="s">
        <v>220</v>
      </c>
      <c r="H398" s="25">
        <f t="shared" si="14"/>
        <v>1.301064697638421E-2</v>
      </c>
      <c r="J398" s="44">
        <v>478.74</v>
      </c>
      <c r="K398" s="44">
        <v>482.59</v>
      </c>
      <c r="L398" s="44">
        <v>464.71</v>
      </c>
      <c r="M398" s="44">
        <v>475.53</v>
      </c>
      <c r="N398" s="44">
        <v>3114427</v>
      </c>
      <c r="O398" s="44" t="s">
        <v>220</v>
      </c>
      <c r="P398" s="25">
        <f t="shared" si="13"/>
        <v>6.7503627531386723E-3</v>
      </c>
    </row>
    <row r="399" spans="2:16">
      <c r="B399" s="44">
        <v>472.37</v>
      </c>
      <c r="C399" s="44">
        <v>479.49</v>
      </c>
      <c r="D399" s="44">
        <v>467.33</v>
      </c>
      <c r="E399" s="44">
        <v>479.02</v>
      </c>
      <c r="F399" s="44">
        <v>7762501</v>
      </c>
      <c r="G399" s="44" t="s">
        <v>221</v>
      </c>
      <c r="H399" s="25">
        <f t="shared" si="14"/>
        <v>-1.388251012483821E-2</v>
      </c>
      <c r="J399" s="44">
        <v>468.32</v>
      </c>
      <c r="K399" s="44">
        <v>478.9</v>
      </c>
      <c r="L399" s="44">
        <v>463.05</v>
      </c>
      <c r="M399" s="44">
        <v>475.94</v>
      </c>
      <c r="N399" s="44">
        <v>2648532</v>
      </c>
      <c r="O399" s="44" t="s">
        <v>221</v>
      </c>
      <c r="P399" s="25">
        <f t="shared" si="13"/>
        <v>-1.6010421481699399E-2</v>
      </c>
    </row>
    <row r="400" spans="2:16">
      <c r="B400" s="44">
        <v>483.9</v>
      </c>
      <c r="C400" s="44">
        <v>488.16</v>
      </c>
      <c r="D400" s="44">
        <v>481.5</v>
      </c>
      <c r="E400" s="44">
        <v>484.79</v>
      </c>
      <c r="F400" s="44">
        <v>5638939</v>
      </c>
      <c r="G400" s="44" t="s">
        <v>222</v>
      </c>
      <c r="H400" s="25">
        <f t="shared" si="14"/>
        <v>-1.8358464489780513E-3</v>
      </c>
      <c r="J400" s="44">
        <v>482.74</v>
      </c>
      <c r="K400" s="44">
        <v>489.245</v>
      </c>
      <c r="L400" s="44">
        <v>481.39</v>
      </c>
      <c r="M400" s="44">
        <v>484.85</v>
      </c>
      <c r="N400" s="44">
        <v>1625851</v>
      </c>
      <c r="O400" s="44" t="s">
        <v>222</v>
      </c>
      <c r="P400" s="25">
        <f t="shared" si="13"/>
        <v>-4.351861400433199E-3</v>
      </c>
    </row>
    <row r="401" spans="2:16">
      <c r="B401" s="44">
        <v>483.23</v>
      </c>
      <c r="C401" s="44">
        <v>491.76499999999999</v>
      </c>
      <c r="D401" s="44">
        <v>478.23</v>
      </c>
      <c r="E401" s="44">
        <v>488.65</v>
      </c>
      <c r="F401" s="44">
        <v>6374869</v>
      </c>
      <c r="G401" s="44" t="s">
        <v>223</v>
      </c>
      <c r="H401" s="25">
        <f t="shared" si="14"/>
        <v>-1.1091783485111972E-2</v>
      </c>
      <c r="J401" s="44">
        <v>481.34</v>
      </c>
      <c r="K401" s="44">
        <v>492.04</v>
      </c>
      <c r="L401" s="44">
        <v>477.62</v>
      </c>
      <c r="M401" s="44">
        <v>483.9</v>
      </c>
      <c r="N401" s="44">
        <v>1990811</v>
      </c>
      <c r="O401" s="44" t="s">
        <v>223</v>
      </c>
      <c r="P401" s="25">
        <f t="shared" si="13"/>
        <v>-5.2903492457119228E-3</v>
      </c>
    </row>
    <row r="402" spans="2:16">
      <c r="B402" s="44">
        <v>494.09</v>
      </c>
      <c r="C402" s="44">
        <v>499.27</v>
      </c>
      <c r="D402" s="44">
        <v>493.42</v>
      </c>
      <c r="E402" s="44">
        <v>496.03</v>
      </c>
      <c r="F402" s="44">
        <v>8200583</v>
      </c>
      <c r="G402" s="44" t="s">
        <v>224</v>
      </c>
      <c r="H402" s="25">
        <f t="shared" si="14"/>
        <v>-3.911053766909256E-3</v>
      </c>
      <c r="J402" s="44">
        <v>488.27</v>
      </c>
      <c r="K402" s="44">
        <v>494.64</v>
      </c>
      <c r="L402" s="44">
        <v>483.69</v>
      </c>
      <c r="M402" s="44">
        <v>487.46</v>
      </c>
      <c r="N402" s="44">
        <v>1733370</v>
      </c>
      <c r="O402" s="44" t="s">
        <v>224</v>
      </c>
      <c r="P402" s="25">
        <f t="shared" si="13"/>
        <v>1.6616748040865215E-3</v>
      </c>
    </row>
    <row r="403" spans="2:16">
      <c r="B403" s="44">
        <v>495.48</v>
      </c>
      <c r="C403" s="44">
        <v>500.26</v>
      </c>
      <c r="D403" s="44">
        <v>490.69</v>
      </c>
      <c r="E403" s="44">
        <v>500.05</v>
      </c>
      <c r="F403" s="44">
        <v>7701488</v>
      </c>
      <c r="G403" s="44" t="s">
        <v>225</v>
      </c>
      <c r="H403" s="25">
        <f t="shared" si="14"/>
        <v>-9.1390860913908023E-3</v>
      </c>
      <c r="J403" s="44">
        <v>490.13</v>
      </c>
      <c r="K403" s="44">
        <v>506.142</v>
      </c>
      <c r="L403" s="44">
        <v>487.2022</v>
      </c>
      <c r="M403" s="44">
        <v>502.27</v>
      </c>
      <c r="N403" s="44">
        <v>1518495</v>
      </c>
      <c r="O403" s="44" t="s">
        <v>225</v>
      </c>
      <c r="P403" s="25">
        <f t="shared" si="13"/>
        <v>-2.4170266987875055E-2</v>
      </c>
    </row>
    <row r="404" spans="2:16">
      <c r="B404" s="44">
        <v>490.55</v>
      </c>
      <c r="C404" s="44">
        <v>493</v>
      </c>
      <c r="D404" s="44">
        <v>478</v>
      </c>
      <c r="E404" s="44">
        <v>480.69</v>
      </c>
      <c r="F404" s="44">
        <v>11541195</v>
      </c>
      <c r="G404" s="44" t="s">
        <v>226</v>
      </c>
      <c r="H404" s="25">
        <f t="shared" si="14"/>
        <v>2.051218040733116E-2</v>
      </c>
      <c r="J404" s="44">
        <v>493.6</v>
      </c>
      <c r="K404" s="44">
        <v>496.60500000000002</v>
      </c>
      <c r="L404" s="44">
        <v>480.29</v>
      </c>
      <c r="M404" s="44">
        <v>489.27</v>
      </c>
      <c r="N404" s="44">
        <v>2843731</v>
      </c>
      <c r="O404" s="44" t="s">
        <v>226</v>
      </c>
      <c r="P404" s="25">
        <f t="shared" si="13"/>
        <v>8.849919267480244E-3</v>
      </c>
    </row>
    <row r="405" spans="2:16">
      <c r="B405" s="44">
        <v>482.06</v>
      </c>
      <c r="C405" s="44">
        <v>490.3</v>
      </c>
      <c r="D405" s="44">
        <v>468.33</v>
      </c>
      <c r="E405" s="44">
        <v>489.15</v>
      </c>
      <c r="F405" s="44">
        <v>16651303</v>
      </c>
      <c r="G405" s="44" t="s">
        <v>227</v>
      </c>
      <c r="H405" s="25">
        <f t="shared" si="14"/>
        <v>-1.4494531329857896E-2</v>
      </c>
      <c r="J405" s="44">
        <v>489.52</v>
      </c>
      <c r="K405" s="44">
        <v>510.6</v>
      </c>
      <c r="L405" s="44">
        <v>472.02</v>
      </c>
      <c r="M405" s="44">
        <v>509</v>
      </c>
      <c r="N405" s="44">
        <v>4056227</v>
      </c>
      <c r="O405" s="44" t="s">
        <v>227</v>
      </c>
      <c r="P405" s="25">
        <f t="shared" si="13"/>
        <v>-3.827111984282916E-2</v>
      </c>
    </row>
    <row r="406" spans="2:16">
      <c r="B406" s="44">
        <v>499.1</v>
      </c>
      <c r="C406" s="44">
        <v>502.06119999999999</v>
      </c>
      <c r="D406" s="44">
        <v>453.16</v>
      </c>
      <c r="E406" s="44">
        <v>453.49</v>
      </c>
      <c r="F406" s="44">
        <v>29286594</v>
      </c>
      <c r="G406" s="44" t="s">
        <v>228</v>
      </c>
      <c r="H406" s="25">
        <f t="shared" si="14"/>
        <v>0.10057553639551031</v>
      </c>
      <c r="J406" s="44">
        <v>522.95000000000005</v>
      </c>
      <c r="K406" s="44">
        <v>529.18899999999996</v>
      </c>
      <c r="L406" s="44">
        <v>442.9</v>
      </c>
      <c r="M406" s="44">
        <v>450</v>
      </c>
      <c r="N406" s="44">
        <v>6038249</v>
      </c>
      <c r="O406" s="44" t="s">
        <v>228</v>
      </c>
      <c r="P406" s="25">
        <f t="shared" si="13"/>
        <v>0.16211111111111132</v>
      </c>
    </row>
    <row r="407" spans="2:16">
      <c r="B407" s="44">
        <v>456.74</v>
      </c>
      <c r="C407" s="44">
        <v>482.49</v>
      </c>
      <c r="D407" s="44">
        <v>449.6</v>
      </c>
      <c r="E407" s="44">
        <v>479.68</v>
      </c>
      <c r="F407" s="44">
        <v>19002684</v>
      </c>
      <c r="G407" s="44" t="s">
        <v>229</v>
      </c>
      <c r="H407" s="25">
        <f t="shared" si="14"/>
        <v>-4.7823549032688484E-2</v>
      </c>
      <c r="J407" s="44">
        <v>457.63</v>
      </c>
      <c r="K407" s="44">
        <v>488.47</v>
      </c>
      <c r="L407" s="44">
        <v>450.91</v>
      </c>
      <c r="M407" s="44">
        <v>479.58</v>
      </c>
      <c r="N407" s="44">
        <v>3157676</v>
      </c>
      <c r="O407" s="44" t="s">
        <v>229</v>
      </c>
      <c r="P407" s="25">
        <f t="shared" si="13"/>
        <v>-4.5769214729554974E-2</v>
      </c>
    </row>
    <row r="408" spans="2:16">
      <c r="B408" s="44">
        <v>463.56</v>
      </c>
      <c r="C408" s="44">
        <v>480.76</v>
      </c>
      <c r="D408" s="44">
        <v>442.8</v>
      </c>
      <c r="E408" s="44">
        <v>449.54</v>
      </c>
      <c r="F408" s="44">
        <v>31285267</v>
      </c>
      <c r="G408" s="44" t="s">
        <v>230</v>
      </c>
      <c r="H408" s="25">
        <f t="shared" si="14"/>
        <v>3.1187436045735595E-2</v>
      </c>
      <c r="J408" s="44">
        <v>463.62</v>
      </c>
      <c r="K408" s="44">
        <v>479.89</v>
      </c>
      <c r="L408" s="44">
        <v>425</v>
      </c>
      <c r="M408" s="44">
        <v>430.97</v>
      </c>
      <c r="N408" s="44">
        <v>4125755</v>
      </c>
      <c r="O408" s="44" t="s">
        <v>230</v>
      </c>
      <c r="P408" s="25">
        <f t="shared" si="13"/>
        <v>7.5759333596306044E-2</v>
      </c>
    </row>
    <row r="409" spans="2:16">
      <c r="B409" s="44">
        <v>465.52</v>
      </c>
      <c r="C409" s="44">
        <v>483.3</v>
      </c>
      <c r="D409" s="44">
        <v>464.24</v>
      </c>
      <c r="E409" s="44">
        <v>481.28</v>
      </c>
      <c r="F409" s="44">
        <v>30966508</v>
      </c>
      <c r="G409" s="44" t="s">
        <v>231</v>
      </c>
      <c r="H409" s="25">
        <f t="shared" si="14"/>
        <v>-3.2746010638297851E-2</v>
      </c>
      <c r="J409" s="44">
        <v>451.58</v>
      </c>
      <c r="K409" s="44">
        <v>480.56</v>
      </c>
      <c r="L409" s="44">
        <v>451.02</v>
      </c>
      <c r="M409" s="44">
        <v>476.84</v>
      </c>
      <c r="N409" s="44">
        <v>4108601</v>
      </c>
      <c r="O409" s="44" t="s">
        <v>231</v>
      </c>
      <c r="P409" s="25">
        <f t="shared" si="13"/>
        <v>-5.2973743813438445E-2</v>
      </c>
    </row>
    <row r="410" spans="2:16">
      <c r="B410" s="44">
        <v>494.16</v>
      </c>
      <c r="C410" s="44">
        <v>503.66</v>
      </c>
      <c r="D410" s="44">
        <v>493.5</v>
      </c>
      <c r="E410" s="44">
        <v>501</v>
      </c>
      <c r="F410" s="44">
        <v>16226023</v>
      </c>
      <c r="G410" s="44" t="s">
        <v>232</v>
      </c>
      <c r="H410" s="25">
        <f t="shared" si="14"/>
        <v>-1.3652694610778449E-2</v>
      </c>
      <c r="J410" s="44">
        <v>494.61</v>
      </c>
      <c r="K410" s="44">
        <v>504.09</v>
      </c>
      <c r="L410" s="44">
        <v>484.88</v>
      </c>
      <c r="M410" s="44">
        <v>487.58</v>
      </c>
      <c r="N410" s="44">
        <v>2728982</v>
      </c>
      <c r="O410" s="44" t="s">
        <v>232</v>
      </c>
      <c r="P410" s="25">
        <f t="shared" si="13"/>
        <v>1.4418146765659001E-2</v>
      </c>
    </row>
    <row r="411" spans="2:16">
      <c r="B411" s="44">
        <v>518.91</v>
      </c>
      <c r="C411" s="44">
        <v>521.49</v>
      </c>
      <c r="D411" s="44">
        <v>509.9298</v>
      </c>
      <c r="E411" s="44">
        <v>510.14</v>
      </c>
      <c r="F411" s="44">
        <v>6308643</v>
      </c>
      <c r="G411" s="44" t="s">
        <v>233</v>
      </c>
      <c r="H411" s="25">
        <f t="shared" si="14"/>
        <v>1.7191359234719927E-2</v>
      </c>
      <c r="J411" s="44">
        <v>507.05</v>
      </c>
      <c r="K411" s="44">
        <v>508.62</v>
      </c>
      <c r="L411" s="44">
        <v>486.43</v>
      </c>
      <c r="M411" s="44">
        <v>488.6</v>
      </c>
      <c r="N411" s="44">
        <v>1432212</v>
      </c>
      <c r="O411" s="44" t="s">
        <v>233</v>
      </c>
      <c r="P411" s="25">
        <f t="shared" si="13"/>
        <v>3.7760949652067E-2</v>
      </c>
    </row>
    <row r="412" spans="2:16">
      <c r="B412" s="44">
        <v>515.79999999999995</v>
      </c>
      <c r="C412" s="44">
        <v>517.35</v>
      </c>
      <c r="D412" s="44">
        <v>508.88</v>
      </c>
      <c r="E412" s="44">
        <v>512.36</v>
      </c>
      <c r="F412" s="44">
        <v>7697017</v>
      </c>
      <c r="G412" s="44" t="s">
        <v>234</v>
      </c>
      <c r="H412" s="25">
        <f t="shared" si="14"/>
        <v>6.7140291982199507E-3</v>
      </c>
      <c r="J412" s="44">
        <v>496.36</v>
      </c>
      <c r="K412" s="44">
        <v>497.3</v>
      </c>
      <c r="L412" s="44">
        <v>486.2389</v>
      </c>
      <c r="M412" s="44">
        <v>492.26</v>
      </c>
      <c r="N412" s="44">
        <v>1609933</v>
      </c>
      <c r="O412" s="44" t="s">
        <v>234</v>
      </c>
      <c r="P412" s="25">
        <f t="shared" si="13"/>
        <v>8.3289318652743916E-3</v>
      </c>
    </row>
    <row r="413" spans="2:16">
      <c r="B413" s="44">
        <v>513.91</v>
      </c>
      <c r="C413" s="44">
        <v>515.33000000000004</v>
      </c>
      <c r="D413" s="44">
        <v>502.64</v>
      </c>
      <c r="E413" s="44">
        <v>505.31</v>
      </c>
      <c r="F413" s="44">
        <v>8196668</v>
      </c>
      <c r="G413" s="44" t="s">
        <v>235</v>
      </c>
      <c r="H413" s="25">
        <f t="shared" si="14"/>
        <v>1.7019255506520725E-2</v>
      </c>
      <c r="J413" s="44">
        <v>495.27</v>
      </c>
      <c r="K413" s="44">
        <v>497.77</v>
      </c>
      <c r="L413" s="44">
        <v>479.48</v>
      </c>
      <c r="M413" s="44">
        <v>484.46</v>
      </c>
      <c r="N413" s="44">
        <v>2290143</v>
      </c>
      <c r="O413" s="44" t="s">
        <v>235</v>
      </c>
      <c r="P413" s="25">
        <f t="shared" si="13"/>
        <v>2.2313503694835424E-2</v>
      </c>
    </row>
    <row r="414" spans="2:16">
      <c r="B414" s="44">
        <v>510.8</v>
      </c>
      <c r="C414" s="44">
        <v>520.46</v>
      </c>
      <c r="D414" s="44">
        <v>510.16</v>
      </c>
      <c r="E414" s="44">
        <v>519.76</v>
      </c>
      <c r="F414" s="44">
        <v>5831793</v>
      </c>
      <c r="G414" s="44" t="s">
        <v>236</v>
      </c>
      <c r="H414" s="25">
        <f t="shared" si="14"/>
        <v>-1.7238725565645652E-2</v>
      </c>
      <c r="J414" s="44">
        <v>491.84</v>
      </c>
      <c r="K414" s="44">
        <v>505.19</v>
      </c>
      <c r="L414" s="44">
        <v>488.57</v>
      </c>
      <c r="M414" s="44">
        <v>505.06</v>
      </c>
      <c r="N414" s="44">
        <v>1967313</v>
      </c>
      <c r="O414" s="44" t="s">
        <v>236</v>
      </c>
      <c r="P414" s="25">
        <f t="shared" si="13"/>
        <v>-2.6175107907971396E-2</v>
      </c>
    </row>
    <row r="415" spans="2:16">
      <c r="B415" s="44">
        <v>521.21</v>
      </c>
      <c r="C415" s="44">
        <v>524.678</v>
      </c>
      <c r="D415" s="44">
        <v>519.23</v>
      </c>
      <c r="E415" s="44">
        <v>521.29</v>
      </c>
      <c r="F415" s="44">
        <v>5534928</v>
      </c>
      <c r="G415" s="44" t="s">
        <v>237</v>
      </c>
      <c r="H415" s="25">
        <f t="shared" si="14"/>
        <v>-1.5346544150074415E-4</v>
      </c>
      <c r="J415" s="44">
        <v>507.9</v>
      </c>
      <c r="K415" s="44">
        <v>513.04999999999995</v>
      </c>
      <c r="L415" s="44">
        <v>502.28820000000002</v>
      </c>
      <c r="M415" s="44">
        <v>505.98</v>
      </c>
      <c r="N415" s="44">
        <v>1472911</v>
      </c>
      <c r="O415" s="44" t="s">
        <v>237</v>
      </c>
      <c r="P415" s="25">
        <f t="shared" si="13"/>
        <v>3.7946163879993833E-3</v>
      </c>
    </row>
    <row r="416" spans="2:16">
      <c r="B416" s="44">
        <v>522.64789999999982</v>
      </c>
      <c r="C416" s="44">
        <v>529.57388654806823</v>
      </c>
      <c r="D416" s="44">
        <v>521.2925990351979</v>
      </c>
      <c r="E416" s="44">
        <v>528.72682344506711</v>
      </c>
      <c r="F416" s="44">
        <v>4444984.1890879134</v>
      </c>
      <c r="G416" s="44" t="s">
        <v>238</v>
      </c>
      <c r="H416" s="25">
        <f t="shared" si="14"/>
        <v>-1.1497285886610364E-2</v>
      </c>
      <c r="J416" s="44">
        <v>509.03</v>
      </c>
      <c r="K416" s="44">
        <v>520.89</v>
      </c>
      <c r="L416" s="44">
        <v>506.69</v>
      </c>
      <c r="M416" s="44">
        <v>520.89</v>
      </c>
      <c r="N416" s="44">
        <v>1980609</v>
      </c>
      <c r="O416" s="44" t="s">
        <v>238</v>
      </c>
      <c r="P416" s="25">
        <f t="shared" si="13"/>
        <v>-2.2768722762963378E-2</v>
      </c>
    </row>
    <row r="417" spans="2:16">
      <c r="B417" s="44">
        <v>528.81651247950253</v>
      </c>
      <c r="C417" s="44">
        <v>529.76323006520977</v>
      </c>
      <c r="D417" s="44">
        <v>527.28183344582988</v>
      </c>
      <c r="E417" s="44">
        <v>528.75671978987896</v>
      </c>
      <c r="F417" s="44">
        <v>6281904.064935497</v>
      </c>
      <c r="G417" s="44" t="s">
        <v>239</v>
      </c>
      <c r="H417" s="25">
        <f t="shared" si="14"/>
        <v>1.1308166380818996E-4</v>
      </c>
      <c r="J417" s="44">
        <v>519.80999999999995</v>
      </c>
      <c r="K417" s="44">
        <v>520.39</v>
      </c>
      <c r="L417" s="44">
        <v>511.95</v>
      </c>
      <c r="M417" s="44">
        <v>514</v>
      </c>
      <c r="N417" s="44">
        <v>2527061</v>
      </c>
      <c r="O417" s="44" t="s">
        <v>239</v>
      </c>
      <c r="P417" s="25">
        <f t="shared" si="13"/>
        <v>1.1303501945525207E-2</v>
      </c>
    </row>
    <row r="418" spans="2:16">
      <c r="B418" s="44">
        <v>527.56086599740661</v>
      </c>
      <c r="C418" s="44">
        <v>528.55741082446684</v>
      </c>
      <c r="D418" s="44">
        <v>524.06299365442533</v>
      </c>
      <c r="E418" s="44">
        <v>524.66092055066144</v>
      </c>
      <c r="F418" s="44">
        <v>22453848.931221198</v>
      </c>
      <c r="G418" s="44" t="s">
        <v>240</v>
      </c>
      <c r="H418" s="25">
        <f t="shared" si="14"/>
        <v>5.5272754900470566E-3</v>
      </c>
      <c r="J418" s="44">
        <v>508.58</v>
      </c>
      <c r="K418" s="44">
        <v>510.78</v>
      </c>
      <c r="L418" s="44">
        <v>501.84219999999999</v>
      </c>
      <c r="M418" s="44">
        <v>504.74</v>
      </c>
      <c r="N418" s="44">
        <v>1905501</v>
      </c>
      <c r="O418" s="44" t="s">
        <v>240</v>
      </c>
      <c r="P418" s="25">
        <f t="shared" si="13"/>
        <v>7.6078773229781849E-3</v>
      </c>
    </row>
    <row r="419" spans="2:16">
      <c r="B419" s="44">
        <v>518.46241172634689</v>
      </c>
      <c r="C419" s="44">
        <v>519.15002765701854</v>
      </c>
      <c r="D419" s="44">
        <v>512.87677797067442</v>
      </c>
      <c r="E419" s="44">
        <v>514.00785634938768</v>
      </c>
      <c r="F419" s="44">
        <v>5076551.3628965141</v>
      </c>
      <c r="G419" s="44" t="s">
        <v>241</v>
      </c>
      <c r="H419" s="25">
        <f t="shared" si="14"/>
        <v>8.666317687431091E-3</v>
      </c>
      <c r="J419" s="44">
        <v>492.49</v>
      </c>
      <c r="K419" s="44">
        <v>492.75</v>
      </c>
      <c r="L419" s="44">
        <v>477.27499999999998</v>
      </c>
      <c r="M419" s="44">
        <v>483.11</v>
      </c>
      <c r="N419" s="44">
        <v>3377219</v>
      </c>
      <c r="O419" s="44" t="s">
        <v>241</v>
      </c>
      <c r="P419" s="25">
        <f t="shared" si="13"/>
        <v>1.9415868021775529E-2</v>
      </c>
    </row>
    <row r="420" spans="2:16">
      <c r="B420" s="44">
        <v>518.33286089882904</v>
      </c>
      <c r="C420" s="44">
        <v>522.80236444819411</v>
      </c>
      <c r="D420" s="44">
        <v>515.53256993478999</v>
      </c>
      <c r="E420" s="44">
        <v>516.17035862410842</v>
      </c>
      <c r="F420" s="44">
        <v>6050643.0180241829</v>
      </c>
      <c r="G420" s="44" t="s">
        <v>242</v>
      </c>
      <c r="H420" s="25">
        <f t="shared" si="14"/>
        <v>4.1895127036835067E-3</v>
      </c>
      <c r="J420" s="44">
        <v>491.81</v>
      </c>
      <c r="K420" s="44">
        <v>500.29</v>
      </c>
      <c r="L420" s="44">
        <v>490.28</v>
      </c>
      <c r="M420" s="44">
        <v>490.4</v>
      </c>
      <c r="N420" s="44">
        <v>2108828</v>
      </c>
      <c r="O420" s="44" t="s">
        <v>242</v>
      </c>
      <c r="P420" s="25">
        <f t="shared" si="13"/>
        <v>2.875203915171376E-3</v>
      </c>
    </row>
    <row r="421" spans="2:16">
      <c r="B421" s="44">
        <v>519.52871469130139</v>
      </c>
      <c r="C421" s="44">
        <v>523.14617241352994</v>
      </c>
      <c r="D421" s="44">
        <v>514.63478270009125</v>
      </c>
      <c r="E421" s="44">
        <v>515.75180979674315</v>
      </c>
      <c r="F421" s="44">
        <v>5392581.3009867659</v>
      </c>
      <c r="G421" s="44" t="s">
        <v>243</v>
      </c>
      <c r="H421" s="25">
        <f t="shared" si="14"/>
        <v>7.3231054604474544E-3</v>
      </c>
      <c r="J421" s="44">
        <v>492.06</v>
      </c>
      <c r="K421" s="44">
        <v>496.26850000000002</v>
      </c>
      <c r="L421" s="44">
        <v>482.8</v>
      </c>
      <c r="M421" s="44">
        <v>486</v>
      </c>
      <c r="N421" s="44">
        <v>2098371</v>
      </c>
      <c r="O421" s="44" t="s">
        <v>243</v>
      </c>
      <c r="P421" s="25">
        <f t="shared" si="13"/>
        <v>1.2469135802469111E-2</v>
      </c>
    </row>
    <row r="422" spans="2:16">
      <c r="B422" s="44">
        <v>514.12744172863495</v>
      </c>
      <c r="C422" s="44">
        <v>517.72496855432234</v>
      </c>
      <c r="D422" s="44">
        <v>512.29459648270586</v>
      </c>
      <c r="E422" s="44">
        <v>517.52565958891034</v>
      </c>
      <c r="F422" s="44">
        <v>6031437.6601914996</v>
      </c>
      <c r="G422" s="44" t="s">
        <v>244</v>
      </c>
      <c r="H422" s="25">
        <f t="shared" si="14"/>
        <v>-6.5662789802050092E-3</v>
      </c>
      <c r="J422" s="44">
        <v>483.95</v>
      </c>
      <c r="K422" s="44">
        <v>488.55</v>
      </c>
      <c r="L422" s="44">
        <v>478.41</v>
      </c>
      <c r="M422" s="44">
        <v>487.34</v>
      </c>
      <c r="N422" s="44">
        <v>1728829</v>
      </c>
      <c r="O422" s="44" t="s">
        <v>244</v>
      </c>
      <c r="P422" s="25">
        <f t="shared" si="13"/>
        <v>-6.9561291911190981E-3</v>
      </c>
    </row>
    <row r="423" spans="2:16">
      <c r="B423" s="44">
        <v>519.60843827746612</v>
      </c>
      <c r="C423" s="44">
        <v>522.03004220722255</v>
      </c>
      <c r="D423" s="44">
        <v>515.29339917629545</v>
      </c>
      <c r="E423" s="44">
        <v>515.66212076230772</v>
      </c>
      <c r="F423" s="44">
        <v>6291581.5021547033</v>
      </c>
      <c r="G423" s="44" t="s">
        <v>245</v>
      </c>
      <c r="H423" s="25">
        <f t="shared" si="14"/>
        <v>7.6529133249587655E-3</v>
      </c>
      <c r="J423" s="44">
        <v>488.8</v>
      </c>
      <c r="K423" s="44">
        <v>495.82</v>
      </c>
      <c r="L423" s="44">
        <v>474.9</v>
      </c>
      <c r="M423" s="44">
        <v>480</v>
      </c>
      <c r="N423" s="44">
        <v>3211524</v>
      </c>
      <c r="O423" s="44" t="s">
        <v>245</v>
      </c>
      <c r="P423" s="25">
        <f t="shared" si="13"/>
        <v>1.8333333333333313E-2</v>
      </c>
    </row>
    <row r="424" spans="2:16">
      <c r="B424" s="44">
        <v>515.6720862105783</v>
      </c>
      <c r="C424" s="44">
        <v>516.62876924455611</v>
      </c>
      <c r="D424" s="44">
        <v>509.07495945543968</v>
      </c>
      <c r="E424" s="44">
        <v>509.51343917934616</v>
      </c>
      <c r="F424" s="44">
        <v>7437960.4396382375</v>
      </c>
      <c r="G424" s="44" t="s">
        <v>246</v>
      </c>
      <c r="H424" s="25">
        <f t="shared" si="14"/>
        <v>1.2087310280081365E-2</v>
      </c>
      <c r="J424" s="44">
        <v>484.44</v>
      </c>
      <c r="K424" s="44">
        <v>492.28</v>
      </c>
      <c r="L424" s="44">
        <v>476.57</v>
      </c>
      <c r="M424" s="44">
        <v>482.69</v>
      </c>
      <c r="N424" s="44">
        <v>4239164</v>
      </c>
      <c r="O424" s="44" t="s">
        <v>246</v>
      </c>
      <c r="P424" s="25">
        <f t="shared" si="13"/>
        <v>3.625515341109109E-3</v>
      </c>
    </row>
    <row r="425" spans="2:16">
      <c r="B425" s="44">
        <v>505.2980545608815</v>
      </c>
      <c r="C425" s="44">
        <v>512.28383379857348</v>
      </c>
      <c r="D425" s="44">
        <v>503.67368649277336</v>
      </c>
      <c r="E425" s="44">
        <v>511.73573414369048</v>
      </c>
      <c r="F425" s="44">
        <v>21725060.842337649</v>
      </c>
      <c r="G425" s="44" t="s">
        <v>247</v>
      </c>
      <c r="H425" s="25">
        <f t="shared" si="14"/>
        <v>-1.2580086074273189E-2</v>
      </c>
      <c r="J425" s="44">
        <v>476.78</v>
      </c>
      <c r="K425" s="44">
        <v>500.76</v>
      </c>
      <c r="L425" s="44">
        <v>474.37</v>
      </c>
      <c r="M425" s="44">
        <v>498.71</v>
      </c>
      <c r="N425" s="44">
        <v>3645365</v>
      </c>
      <c r="O425" s="44" t="s">
        <v>247</v>
      </c>
      <c r="P425" s="25">
        <f t="shared" si="13"/>
        <v>-4.3973451504882632E-2</v>
      </c>
    </row>
    <row r="426" spans="2:16">
      <c r="B426" s="44">
        <v>511.98487035045554</v>
      </c>
      <c r="C426" s="44">
        <v>515.95111876215515</v>
      </c>
      <c r="D426" s="44">
        <v>507.34097145635496</v>
      </c>
      <c r="E426" s="44">
        <v>515.10405565915403</v>
      </c>
      <c r="F426" s="44">
        <v>8620339.7646867074</v>
      </c>
      <c r="G426" s="44" t="s">
        <v>248</v>
      </c>
      <c r="H426" s="25">
        <f t="shared" si="14"/>
        <v>-6.0554470003288952E-3</v>
      </c>
      <c r="J426" s="44">
        <v>497.3</v>
      </c>
      <c r="K426" s="44">
        <v>519.51</v>
      </c>
      <c r="L426" s="44">
        <v>496.30500000000001</v>
      </c>
      <c r="M426" s="44">
        <v>511.06</v>
      </c>
      <c r="N426" s="44">
        <v>2558661</v>
      </c>
      <c r="O426" s="44" t="s">
        <v>248</v>
      </c>
      <c r="P426" s="25">
        <f t="shared" si="13"/>
        <v>-2.6924431573592145E-2</v>
      </c>
    </row>
    <row r="427" spans="2:16">
      <c r="B427" s="44">
        <v>509.51343917934616</v>
      </c>
      <c r="C427" s="44">
        <v>515.74174469398986</v>
      </c>
      <c r="D427" s="44">
        <v>505.77639607787034</v>
      </c>
      <c r="E427" s="44">
        <v>512.55290090187987</v>
      </c>
      <c r="F427" s="44">
        <v>11247777.014774196</v>
      </c>
      <c r="G427" s="44" t="s">
        <v>249</v>
      </c>
      <c r="H427" s="25">
        <f t="shared" si="14"/>
        <v>-5.9300449127992483E-3</v>
      </c>
      <c r="J427" s="44">
        <v>493.72</v>
      </c>
      <c r="K427" s="44">
        <v>496.185</v>
      </c>
      <c r="L427" s="44">
        <v>478.45</v>
      </c>
      <c r="M427" s="44">
        <v>481.23</v>
      </c>
      <c r="N427" s="44">
        <v>3223423</v>
      </c>
      <c r="O427" s="44" t="s">
        <v>249</v>
      </c>
      <c r="P427" s="25">
        <f t="shared" si="13"/>
        <v>2.5954325374561105E-2</v>
      </c>
    </row>
    <row r="428" spans="2:16">
      <c r="B428" s="44">
        <v>513.72882379781095</v>
      </c>
      <c r="C428" s="44">
        <v>521.89052593143413</v>
      </c>
      <c r="D428" s="44">
        <v>509.0649940071691</v>
      </c>
      <c r="E428" s="44">
        <v>520.09674524272566</v>
      </c>
      <c r="F428" s="44">
        <v>11215642.986148039</v>
      </c>
      <c r="G428" s="44" t="s">
        <v>250</v>
      </c>
      <c r="H428" s="25">
        <f t="shared" si="14"/>
        <v>-1.2243724851504045E-2</v>
      </c>
      <c r="J428" s="44">
        <v>482.61</v>
      </c>
      <c r="K428" s="44">
        <v>503.91</v>
      </c>
      <c r="L428" s="44">
        <v>476.37130000000002</v>
      </c>
      <c r="M428" s="44">
        <v>503.91</v>
      </c>
      <c r="N428" s="44">
        <v>5517403</v>
      </c>
      <c r="O428" s="44" t="s">
        <v>250</v>
      </c>
      <c r="P428" s="25">
        <f t="shared" ref="P428:P491" si="15">J428/M428-1</f>
        <v>-4.2269452878490266E-2</v>
      </c>
    </row>
    <row r="429" spans="2:16">
      <c r="B429" s="44">
        <v>527.68045137665388</v>
      </c>
      <c r="C429" s="44">
        <v>529.04571778972638</v>
      </c>
      <c r="D429" s="44">
        <v>518.33286089882904</v>
      </c>
      <c r="E429" s="44">
        <v>523.08637972390625</v>
      </c>
      <c r="F429" s="44">
        <v>7333618.9216487836</v>
      </c>
      <c r="G429" s="44" t="s">
        <v>251</v>
      </c>
      <c r="H429" s="25">
        <f t="shared" si="14"/>
        <v>8.782625261954724E-3</v>
      </c>
      <c r="J429" s="44">
        <v>518.26</v>
      </c>
      <c r="K429" s="44">
        <v>534.24</v>
      </c>
      <c r="L429" s="44">
        <v>502.84</v>
      </c>
      <c r="M429" s="44">
        <v>533.17999999999995</v>
      </c>
      <c r="N429" s="44">
        <v>3688221</v>
      </c>
      <c r="O429" s="44" t="s">
        <v>251</v>
      </c>
      <c r="P429" s="25">
        <f t="shared" si="15"/>
        <v>-2.7983045125473449E-2</v>
      </c>
    </row>
    <row r="430" spans="2:16">
      <c r="B430" s="44">
        <v>524.85026406780287</v>
      </c>
      <c r="C430" s="44">
        <v>531.58690709872985</v>
      </c>
      <c r="D430" s="44">
        <v>522.4087292415054</v>
      </c>
      <c r="E430" s="44">
        <v>527.36155703199472</v>
      </c>
      <c r="F430" s="44">
        <v>7253989.7892252151</v>
      </c>
      <c r="G430" s="44" t="s">
        <v>252</v>
      </c>
      <c r="H430" s="25">
        <f t="shared" si="14"/>
        <v>-4.7619947466885915E-3</v>
      </c>
      <c r="J430" s="44">
        <v>538.57000000000005</v>
      </c>
      <c r="K430" s="44">
        <v>561.69000000000005</v>
      </c>
      <c r="L430" s="44">
        <v>537.50879999999995</v>
      </c>
      <c r="M430" s="44">
        <v>558.95000000000005</v>
      </c>
      <c r="N430" s="44">
        <v>2367225</v>
      </c>
      <c r="O430" s="44" t="s">
        <v>252</v>
      </c>
      <c r="P430" s="25">
        <f t="shared" si="15"/>
        <v>-3.6461221933983379E-2</v>
      </c>
    </row>
    <row r="431" spans="2:16">
      <c r="B431" s="44">
        <v>534.54664523509871</v>
      </c>
      <c r="C431" s="44">
        <v>535.93194219919519</v>
      </c>
      <c r="D431" s="44">
        <v>525.10936572283845</v>
      </c>
      <c r="E431" s="44">
        <v>528.41789454867842</v>
      </c>
      <c r="F431" s="44">
        <v>6243316.7390512833</v>
      </c>
      <c r="G431" s="44" t="s">
        <v>253</v>
      </c>
      <c r="H431" s="25">
        <f t="shared" si="14"/>
        <v>1.1598302687411577E-2</v>
      </c>
      <c r="J431" s="44">
        <v>568.02</v>
      </c>
      <c r="K431" s="44">
        <v>569</v>
      </c>
      <c r="L431" s="44">
        <v>554.16999999999996</v>
      </c>
      <c r="M431" s="44">
        <v>554.16999999999996</v>
      </c>
      <c r="N431" s="44">
        <v>2039316</v>
      </c>
      <c r="O431" s="44" t="s">
        <v>253</v>
      </c>
      <c r="P431" s="25">
        <f t="shared" si="15"/>
        <v>2.4992330873197854E-2</v>
      </c>
    </row>
    <row r="432" spans="2:16">
      <c r="B432" s="44">
        <v>528.61720351409053</v>
      </c>
      <c r="C432" s="44">
        <v>536.42004985548931</v>
      </c>
      <c r="D432" s="44">
        <v>524.34202620600217</v>
      </c>
      <c r="E432" s="44">
        <v>531.21818551271758</v>
      </c>
      <c r="F432" s="44">
        <v>10513761.865493005</v>
      </c>
      <c r="G432" s="44" t="s">
        <v>254</v>
      </c>
      <c r="H432" s="25">
        <f t="shared" si="14"/>
        <v>-4.8962593329079374E-3</v>
      </c>
      <c r="J432" s="44">
        <v>557.96</v>
      </c>
      <c r="K432" s="44">
        <v>565.79999999999995</v>
      </c>
      <c r="L432" s="44">
        <v>545.53660000000002</v>
      </c>
      <c r="M432" s="44">
        <v>563.69000000000005</v>
      </c>
      <c r="N432" s="44">
        <v>2209644</v>
      </c>
      <c r="O432" s="44" t="s">
        <v>254</v>
      </c>
      <c r="P432" s="25">
        <f t="shared" si="15"/>
        <v>-1.0165161702354153E-2</v>
      </c>
    </row>
    <row r="433" spans="2:16">
      <c r="B433" s="44">
        <v>535.06484854517009</v>
      </c>
      <c r="C433" s="44">
        <v>547.39210805590494</v>
      </c>
      <c r="D433" s="44">
        <v>531.40852557468611</v>
      </c>
      <c r="E433" s="44">
        <v>546.3058741944094</v>
      </c>
      <c r="F433" s="44">
        <v>7315273.535165838</v>
      </c>
      <c r="G433" s="44" t="s">
        <v>255</v>
      </c>
      <c r="H433" s="25">
        <f t="shared" si="14"/>
        <v>-2.0576431959139163E-2</v>
      </c>
      <c r="J433" s="44">
        <v>566.98</v>
      </c>
      <c r="K433" s="44">
        <v>584.9</v>
      </c>
      <c r="L433" s="44">
        <v>563.96</v>
      </c>
      <c r="M433" s="44">
        <v>573.78</v>
      </c>
      <c r="N433" s="44">
        <v>1708338</v>
      </c>
      <c r="O433" s="44" t="s">
        <v>255</v>
      </c>
      <c r="P433" s="25">
        <f t="shared" si="15"/>
        <v>-1.1851232179580951E-2</v>
      </c>
    </row>
    <row r="434" spans="2:16">
      <c r="B434" s="44">
        <v>544.44233536780678</v>
      </c>
      <c r="C434" s="44">
        <v>545.00040047096036</v>
      </c>
      <c r="D434" s="44">
        <v>533.72947847690943</v>
      </c>
      <c r="E434" s="44">
        <v>536.55966578576033</v>
      </c>
      <c r="F434" s="44">
        <v>7353458.470721879</v>
      </c>
      <c r="G434" s="44" t="s">
        <v>256</v>
      </c>
      <c r="H434" s="25">
        <f t="shared" si="14"/>
        <v>1.4691133315998917E-2</v>
      </c>
      <c r="J434" s="44">
        <v>573.15</v>
      </c>
      <c r="K434" s="44">
        <v>574</v>
      </c>
      <c r="L434" s="44">
        <v>556.75</v>
      </c>
      <c r="M434" s="44">
        <v>566.95000000000005</v>
      </c>
      <c r="N434" s="44">
        <v>2401366</v>
      </c>
      <c r="O434" s="44" t="s">
        <v>256</v>
      </c>
      <c r="P434" s="25">
        <f t="shared" si="15"/>
        <v>1.0935708616280015E-2</v>
      </c>
    </row>
    <row r="435" spans="2:16">
      <c r="B435" s="44">
        <v>536.11122061358333</v>
      </c>
      <c r="C435" s="44">
        <v>547.98006950387048</v>
      </c>
      <c r="D435" s="44">
        <v>535.74249902757106</v>
      </c>
      <c r="E435" s="44">
        <v>546.93369743545725</v>
      </c>
      <c r="F435" s="44">
        <v>5540494.3662071563</v>
      </c>
      <c r="G435" s="44" t="s">
        <v>257</v>
      </c>
      <c r="H435" s="25">
        <f t="shared" si="14"/>
        <v>-1.9787548056775295E-2</v>
      </c>
      <c r="J435" s="44">
        <v>563.77</v>
      </c>
      <c r="K435" s="44">
        <v>583.25</v>
      </c>
      <c r="L435" s="44">
        <v>562.4</v>
      </c>
      <c r="M435" s="44">
        <v>581.83000000000004</v>
      </c>
      <c r="N435" s="44">
        <v>1482863</v>
      </c>
      <c r="O435" s="44" t="s">
        <v>257</v>
      </c>
      <c r="P435" s="25">
        <f t="shared" si="15"/>
        <v>-3.1039994500111856E-2</v>
      </c>
    </row>
    <row r="436" spans="2:16">
      <c r="B436" s="44">
        <v>544.86088419517193</v>
      </c>
      <c r="C436" s="44">
        <v>549.4400076755137</v>
      </c>
      <c r="D436" s="44">
        <v>542.36952212752146</v>
      </c>
      <c r="E436" s="44">
        <v>546.11653067726786</v>
      </c>
      <c r="F436" s="44">
        <v>4195298.4817886017</v>
      </c>
      <c r="G436" s="44" t="s">
        <v>258</v>
      </c>
      <c r="H436" s="25">
        <f t="shared" si="14"/>
        <v>-2.2992281162753647E-3</v>
      </c>
      <c r="J436" s="44">
        <v>580.92999999999995</v>
      </c>
      <c r="K436" s="44">
        <v>586.74</v>
      </c>
      <c r="L436" s="44">
        <v>569.64009999999996</v>
      </c>
      <c r="M436" s="44">
        <v>570.85</v>
      </c>
      <c r="N436" s="44">
        <v>1098255</v>
      </c>
      <c r="O436" s="44" t="s">
        <v>258</v>
      </c>
      <c r="P436" s="25">
        <f t="shared" si="15"/>
        <v>1.7657878602084454E-2</v>
      </c>
    </row>
    <row r="437" spans="2:16">
      <c r="B437" s="44">
        <v>544.52205895397151</v>
      </c>
      <c r="C437" s="44">
        <v>547.87044957289379</v>
      </c>
      <c r="D437" s="44">
        <v>540.2951144155129</v>
      </c>
      <c r="E437" s="44">
        <v>547.28248812492825</v>
      </c>
      <c r="F437" s="44">
        <v>5510533.8474334273</v>
      </c>
      <c r="G437" s="44" t="s">
        <v>259</v>
      </c>
      <c r="H437" s="25">
        <f t="shared" si="14"/>
        <v>-5.0438836082886684E-3</v>
      </c>
      <c r="J437" s="44">
        <v>573.74</v>
      </c>
      <c r="K437" s="44">
        <v>584.87660000000005</v>
      </c>
      <c r="L437" s="44">
        <v>556.20000000000005</v>
      </c>
      <c r="M437" s="44">
        <v>583.70000000000005</v>
      </c>
      <c r="N437" s="44">
        <v>2549482</v>
      </c>
      <c r="O437" s="44" t="s">
        <v>259</v>
      </c>
      <c r="P437" s="25">
        <f t="shared" si="15"/>
        <v>-1.7063560047969939E-2</v>
      </c>
    </row>
    <row r="438" spans="2:16">
      <c r="B438" s="44">
        <v>547.24262633184594</v>
      </c>
      <c r="C438" s="44">
        <v>552.59407205315927</v>
      </c>
      <c r="D438" s="44">
        <v>546.61809168872719</v>
      </c>
      <c r="E438" s="44">
        <v>551.69718170880503</v>
      </c>
      <c r="F438" s="44">
        <v>4788801.1360994671</v>
      </c>
      <c r="G438" s="44" t="s">
        <v>260</v>
      </c>
      <c r="H438" s="25">
        <f t="shared" si="14"/>
        <v>-8.0742761149544817E-3</v>
      </c>
      <c r="J438" s="44">
        <v>591.01</v>
      </c>
      <c r="K438" s="44">
        <v>600.58000000000004</v>
      </c>
      <c r="L438" s="44">
        <v>590.66</v>
      </c>
      <c r="M438" s="44">
        <v>594.47</v>
      </c>
      <c r="N438" s="44">
        <v>1441484</v>
      </c>
      <c r="O438" s="44" t="s">
        <v>260</v>
      </c>
      <c r="P438" s="25">
        <f t="shared" si="15"/>
        <v>-5.8203105287063517E-3</v>
      </c>
    </row>
    <row r="439" spans="2:16">
      <c r="B439" s="44">
        <v>549.8436083304731</v>
      </c>
      <c r="C439" s="44">
        <v>559.2609569461921</v>
      </c>
      <c r="D439" s="44">
        <v>549.36028408934885</v>
      </c>
      <c r="E439" s="44">
        <v>559.16130246348609</v>
      </c>
      <c r="F439" s="44">
        <v>6170012.4600902461</v>
      </c>
      <c r="G439" s="44" t="s">
        <v>261</v>
      </c>
      <c r="H439" s="25">
        <f t="shared" si="14"/>
        <v>-1.6663696310817988E-2</v>
      </c>
      <c r="J439" s="44">
        <v>591.79</v>
      </c>
      <c r="K439" s="44">
        <v>607.35</v>
      </c>
      <c r="L439" s="44">
        <v>590.36500000000001</v>
      </c>
      <c r="M439" s="44">
        <v>605.09</v>
      </c>
      <c r="N439" s="44">
        <v>1675064</v>
      </c>
      <c r="O439" s="44" t="s">
        <v>261</v>
      </c>
      <c r="P439" s="25">
        <f t="shared" si="15"/>
        <v>-2.1980201292369883E-2</v>
      </c>
    </row>
    <row r="440" spans="2:16">
      <c r="B440" s="44">
        <v>559.3606114288981</v>
      </c>
      <c r="C440" s="44">
        <v>560.54101877655091</v>
      </c>
      <c r="D440" s="44">
        <v>556.29125336155266</v>
      </c>
      <c r="E440" s="44">
        <v>560.44684529039375</v>
      </c>
      <c r="F440" s="44">
        <v>4462199.6715570865</v>
      </c>
      <c r="G440" s="44" t="s">
        <v>262</v>
      </c>
      <c r="H440" s="25">
        <f t="shared" si="14"/>
        <v>-1.9381567951066714E-3</v>
      </c>
      <c r="J440" s="44">
        <v>606.57000000000005</v>
      </c>
      <c r="K440" s="44">
        <v>608.16499999999996</v>
      </c>
      <c r="L440" s="44">
        <v>597.77</v>
      </c>
      <c r="M440" s="44">
        <v>607.15</v>
      </c>
      <c r="N440" s="44">
        <v>1328222</v>
      </c>
      <c r="O440" s="44" t="s">
        <v>262</v>
      </c>
      <c r="P440" s="25">
        <f t="shared" si="15"/>
        <v>-9.5528287902479914E-4</v>
      </c>
    </row>
    <row r="441" spans="2:16">
      <c r="B441" s="44">
        <v>561.72242266903072</v>
      </c>
      <c r="C441" s="44">
        <v>561.97155887579584</v>
      </c>
      <c r="D441" s="44">
        <v>558.5942684568887</v>
      </c>
      <c r="E441" s="44">
        <v>559.08157887732125</v>
      </c>
      <c r="F441" s="44">
        <v>3870935.7524635624</v>
      </c>
      <c r="G441" s="44" t="s">
        <v>263</v>
      </c>
      <c r="H441" s="25">
        <f t="shared" si="14"/>
        <v>4.7235392677620336E-3</v>
      </c>
      <c r="J441" s="44">
        <v>608.48</v>
      </c>
      <c r="K441" s="44">
        <v>609.08000000000004</v>
      </c>
      <c r="L441" s="44">
        <v>596.47</v>
      </c>
      <c r="M441" s="44">
        <v>601.33000000000004</v>
      </c>
      <c r="N441" s="44">
        <v>1286302</v>
      </c>
      <c r="O441" s="44" t="s">
        <v>263</v>
      </c>
      <c r="P441" s="25">
        <f t="shared" si="15"/>
        <v>1.1890309813247235E-2</v>
      </c>
    </row>
    <row r="442" spans="2:16">
      <c r="B442" s="44">
        <v>560.36712170422891</v>
      </c>
      <c r="C442" s="44">
        <v>560.36712170422891</v>
      </c>
      <c r="D442" s="44">
        <v>557.55686529191917</v>
      </c>
      <c r="E442" s="44">
        <v>559.85888384242821</v>
      </c>
      <c r="F442" s="44">
        <v>3858235.8721808712</v>
      </c>
      <c r="G442" s="44" t="s">
        <v>264</v>
      </c>
      <c r="H442" s="25">
        <f t="shared" si="14"/>
        <v>9.077963688144397E-4</v>
      </c>
      <c r="J442" s="44">
        <v>600.89</v>
      </c>
      <c r="K442" s="44">
        <v>601.59</v>
      </c>
      <c r="L442" s="44">
        <v>586.61410000000001</v>
      </c>
      <c r="M442" s="44">
        <v>595.45500000000004</v>
      </c>
      <c r="N442" s="44">
        <v>1695961</v>
      </c>
      <c r="O442" s="44" t="s">
        <v>264</v>
      </c>
      <c r="P442" s="25">
        <f t="shared" si="15"/>
        <v>9.1274739484930034E-3</v>
      </c>
    </row>
    <row r="443" spans="2:16">
      <c r="B443" s="44">
        <v>558.7527190843914</v>
      </c>
      <c r="C443" s="44">
        <v>559.91867653205179</v>
      </c>
      <c r="D443" s="44">
        <v>558.13486129161413</v>
      </c>
      <c r="E443" s="44">
        <v>558.96199349807398</v>
      </c>
      <c r="F443" s="44">
        <v>3392290.9519008892</v>
      </c>
      <c r="G443" s="44" t="s">
        <v>265</v>
      </c>
      <c r="H443" s="25">
        <f t="shared" si="14"/>
        <v>-3.7439828846486112E-4</v>
      </c>
      <c r="J443" s="44">
        <v>595.54999999999995</v>
      </c>
      <c r="K443" s="44">
        <v>599.26</v>
      </c>
      <c r="L443" s="44">
        <v>588.52</v>
      </c>
      <c r="M443" s="44">
        <v>593.16</v>
      </c>
      <c r="N443" s="44">
        <v>1189193</v>
      </c>
      <c r="O443" s="44" t="s">
        <v>265</v>
      </c>
      <c r="P443" s="25">
        <f t="shared" si="15"/>
        <v>4.029266976869561E-3</v>
      </c>
    </row>
    <row r="444" spans="2:16">
      <c r="B444" s="44">
        <v>558.73278818785013</v>
      </c>
      <c r="C444" s="44">
        <v>558.94206260153283</v>
      </c>
      <c r="D444" s="44">
        <v>552.7784328461654</v>
      </c>
      <c r="E444" s="44">
        <v>553.94937301796119</v>
      </c>
      <c r="F444" s="44">
        <v>3400246.4394863169</v>
      </c>
      <c r="G444" s="44" t="s">
        <v>266</v>
      </c>
      <c r="H444" s="25">
        <f t="shared" si="14"/>
        <v>8.6351125263099959E-3</v>
      </c>
      <c r="J444" s="44">
        <v>591.39</v>
      </c>
      <c r="K444" s="44">
        <v>593.16999999999996</v>
      </c>
      <c r="L444" s="44">
        <v>583.23329999999999</v>
      </c>
      <c r="M444" s="44">
        <v>590.86</v>
      </c>
      <c r="N444" s="44">
        <v>1270510</v>
      </c>
      <c r="O444" s="44" t="s">
        <v>266</v>
      </c>
      <c r="P444" s="25">
        <f t="shared" si="15"/>
        <v>8.9699759672345891E-4</v>
      </c>
    </row>
    <row r="445" spans="2:16">
      <c r="B445" s="44">
        <v>552.89303550127727</v>
      </c>
      <c r="C445" s="44">
        <v>553.99421753517879</v>
      </c>
      <c r="D445" s="44">
        <v>548.48830736567118</v>
      </c>
      <c r="E445" s="44">
        <v>549.09619971017787</v>
      </c>
      <c r="F445" s="44">
        <v>3591893.6136163576</v>
      </c>
      <c r="G445" s="44" t="s">
        <v>267</v>
      </c>
      <c r="H445" s="25">
        <f t="shared" si="14"/>
        <v>6.9147005444645249E-3</v>
      </c>
      <c r="J445" s="44">
        <v>589.61</v>
      </c>
      <c r="K445" s="44">
        <v>591.82000000000005</v>
      </c>
      <c r="L445" s="44">
        <v>581.05499999999995</v>
      </c>
      <c r="M445" s="44">
        <v>586.49</v>
      </c>
      <c r="N445" s="44">
        <v>1115443</v>
      </c>
      <c r="O445" s="44" t="s">
        <v>267</v>
      </c>
      <c r="P445" s="25">
        <f t="shared" si="15"/>
        <v>5.3197837985301533E-3</v>
      </c>
    </row>
    <row r="446" spans="2:16">
      <c r="B446" s="44">
        <v>554.72667798306804</v>
      </c>
      <c r="C446" s="44">
        <v>555.19007132765114</v>
      </c>
      <c r="D446" s="44">
        <v>552.07586874308799</v>
      </c>
      <c r="E446" s="44">
        <v>552.18548867406457</v>
      </c>
      <c r="F446" s="44">
        <v>2762467.8040034226</v>
      </c>
      <c r="G446" s="44" t="s">
        <v>268</v>
      </c>
      <c r="H446" s="25">
        <f t="shared" si="14"/>
        <v>4.6020573903626794E-3</v>
      </c>
      <c r="J446" s="44">
        <v>591.65</v>
      </c>
      <c r="K446" s="44">
        <v>592.83000000000004</v>
      </c>
      <c r="L446" s="44">
        <v>587</v>
      </c>
      <c r="M446" s="44">
        <v>591.23</v>
      </c>
      <c r="N446" s="44">
        <v>837339</v>
      </c>
      <c r="O446" s="44" t="s">
        <v>268</v>
      </c>
      <c r="P446" s="25">
        <f t="shared" si="15"/>
        <v>7.1038343791740566E-4</v>
      </c>
    </row>
    <row r="447" spans="2:16">
      <c r="B447" s="44">
        <v>554.22840556953793</v>
      </c>
      <c r="C447" s="44">
        <v>554.85174435886415</v>
      </c>
      <c r="D447" s="44">
        <v>552.325004949853</v>
      </c>
      <c r="E447" s="44">
        <v>553.52085874232534</v>
      </c>
      <c r="F447" s="44">
        <v>3529747.8893916928</v>
      </c>
      <c r="G447" s="44" t="s">
        <v>269</v>
      </c>
      <c r="H447" s="25">
        <f t="shared" si="14"/>
        <v>1.2782658793026869E-3</v>
      </c>
      <c r="J447" s="44">
        <v>595.70000000000005</v>
      </c>
      <c r="K447" s="44">
        <v>595.96</v>
      </c>
      <c r="L447" s="44">
        <v>586.7749</v>
      </c>
      <c r="M447" s="44">
        <v>590</v>
      </c>
      <c r="N447" s="44">
        <v>1248961</v>
      </c>
      <c r="O447" s="44" t="s">
        <v>269</v>
      </c>
      <c r="P447" s="25">
        <f t="shared" si="15"/>
        <v>9.6610169491526676E-3</v>
      </c>
    </row>
    <row r="448" spans="2:16">
      <c r="B448" s="44">
        <v>550.29205350265022</v>
      </c>
      <c r="C448" s="44">
        <v>557.26786729207174</v>
      </c>
      <c r="D448" s="44">
        <v>549.8884528476907</v>
      </c>
      <c r="E448" s="44">
        <v>556.17166798230539</v>
      </c>
      <c r="F448" s="44">
        <v>10196785.657877898</v>
      </c>
      <c r="G448" s="44" t="s">
        <v>270</v>
      </c>
      <c r="H448" s="25">
        <f t="shared" si="14"/>
        <v>-1.057158215373577E-2</v>
      </c>
      <c r="J448" s="44">
        <v>582.98</v>
      </c>
      <c r="K448" s="44">
        <v>594.08069999999998</v>
      </c>
      <c r="L448" s="44">
        <v>582.15499999999997</v>
      </c>
      <c r="M448" s="44">
        <v>590.5</v>
      </c>
      <c r="N448" s="44">
        <v>1061378</v>
      </c>
      <c r="O448" s="44" t="s">
        <v>270</v>
      </c>
      <c r="P448" s="25">
        <f t="shared" si="15"/>
        <v>-1.2734970364098208E-2</v>
      </c>
    </row>
    <row r="449" spans="2:16">
      <c r="B449" s="44">
        <v>555.69332646531655</v>
      </c>
      <c r="C449" s="44">
        <v>555.72322281012828</v>
      </c>
      <c r="D449" s="44">
        <v>552.2751777085</v>
      </c>
      <c r="E449" s="44">
        <v>555.36446667238658</v>
      </c>
      <c r="F449" s="44">
        <v>3618802.5887791775</v>
      </c>
      <c r="G449" s="44" t="s">
        <v>271</v>
      </c>
      <c r="H449" s="25">
        <f t="shared" si="14"/>
        <v>5.9215130363021728E-4</v>
      </c>
      <c r="J449" s="44">
        <v>588.5</v>
      </c>
      <c r="K449" s="44">
        <v>592.85990000000004</v>
      </c>
      <c r="L449" s="44">
        <v>585.4</v>
      </c>
      <c r="M449" s="44">
        <v>592.78</v>
      </c>
      <c r="N449" s="44">
        <v>1008187</v>
      </c>
      <c r="O449" s="44" t="s">
        <v>271</v>
      </c>
      <c r="P449" s="25">
        <f t="shared" si="15"/>
        <v>-7.2202166064981865E-3</v>
      </c>
    </row>
    <row r="450" spans="2:16">
      <c r="B450" s="44">
        <v>553.70023681119608</v>
      </c>
      <c r="C450" s="44">
        <v>553.80985674217277</v>
      </c>
      <c r="D450" s="44">
        <v>548.50823826221233</v>
      </c>
      <c r="E450" s="44">
        <v>550.43156977843864</v>
      </c>
      <c r="F450" s="44">
        <v>3436056.1682922682</v>
      </c>
      <c r="G450" s="44" t="s">
        <v>272</v>
      </c>
      <c r="H450" s="25">
        <f t="shared" ref="H450:H513" si="16">B450/E450-1</f>
        <v>5.9383712930440868E-3</v>
      </c>
      <c r="J450" s="44">
        <v>590.9</v>
      </c>
      <c r="K450" s="44">
        <v>592.64</v>
      </c>
      <c r="L450" s="44">
        <v>580.16</v>
      </c>
      <c r="M450" s="44">
        <v>580.46</v>
      </c>
      <c r="N450" s="44">
        <v>1521646</v>
      </c>
      <c r="O450" s="44" t="s">
        <v>272</v>
      </c>
      <c r="P450" s="25">
        <f t="shared" si="15"/>
        <v>1.7985735451193863E-2</v>
      </c>
    </row>
    <row r="451" spans="2:16">
      <c r="B451" s="44">
        <v>551.43808005376945</v>
      </c>
      <c r="C451" s="44">
        <v>551.9164215707583</v>
      </c>
      <c r="D451" s="44">
        <v>547.33231536628136</v>
      </c>
      <c r="E451" s="44">
        <v>547.80069143499964</v>
      </c>
      <c r="F451" s="44">
        <v>4195910.5967516582</v>
      </c>
      <c r="G451" s="44" t="s">
        <v>273</v>
      </c>
      <c r="H451" s="25">
        <f t="shared" si="16"/>
        <v>6.6399854466072661E-3</v>
      </c>
      <c r="J451" s="44">
        <v>579.65</v>
      </c>
      <c r="K451" s="44">
        <v>582.85</v>
      </c>
      <c r="L451" s="44">
        <v>573.08000000000004</v>
      </c>
      <c r="M451" s="44">
        <v>573.21</v>
      </c>
      <c r="N451" s="44">
        <v>1416519</v>
      </c>
      <c r="O451" s="44" t="s">
        <v>273</v>
      </c>
      <c r="P451" s="25">
        <f t="shared" si="15"/>
        <v>1.1234974965544708E-2</v>
      </c>
    </row>
    <row r="452" spans="2:16">
      <c r="B452" s="44">
        <v>547.80069143499964</v>
      </c>
      <c r="C452" s="44">
        <v>550.05278308967297</v>
      </c>
      <c r="D452" s="44">
        <v>541.10391019715496</v>
      </c>
      <c r="E452" s="44">
        <v>543.106965299546</v>
      </c>
      <c r="F452" s="44">
        <v>7851164.1298472667</v>
      </c>
      <c r="G452" s="44" t="s">
        <v>274</v>
      </c>
      <c r="H452" s="25">
        <f t="shared" si="16"/>
        <v>8.6423604102827678E-3</v>
      </c>
      <c r="J452" s="44">
        <v>578.54999999999995</v>
      </c>
      <c r="K452" s="44">
        <v>583.57590000000005</v>
      </c>
      <c r="L452" s="44">
        <v>563.26760000000002</v>
      </c>
      <c r="M452" s="44">
        <v>564.87</v>
      </c>
      <c r="N452" s="44">
        <v>1830778</v>
      </c>
      <c r="O452" s="44" t="s">
        <v>274</v>
      </c>
      <c r="P452" s="25">
        <f t="shared" si="15"/>
        <v>2.4217961654893871E-2</v>
      </c>
    </row>
    <row r="453" spans="2:16">
      <c r="B453" s="44">
        <v>551.41814915722819</v>
      </c>
      <c r="C453" s="44">
        <v>558.9520280498034</v>
      </c>
      <c r="D453" s="44">
        <v>550.80029136445091</v>
      </c>
      <c r="E453" s="44">
        <v>556.68987129237678</v>
      </c>
      <c r="F453" s="44">
        <v>6264968.5498018861</v>
      </c>
      <c r="G453" s="44" t="s">
        <v>275</v>
      </c>
      <c r="H453" s="25">
        <f t="shared" si="16"/>
        <v>-9.4697647774875104E-3</v>
      </c>
      <c r="J453" s="44">
        <v>571.88</v>
      </c>
      <c r="K453" s="44">
        <v>586.89</v>
      </c>
      <c r="L453" s="44">
        <v>570.86</v>
      </c>
      <c r="M453" s="44">
        <v>576.74</v>
      </c>
      <c r="N453" s="44">
        <v>1828397</v>
      </c>
      <c r="O453" s="44" t="s">
        <v>275</v>
      </c>
      <c r="P453" s="25">
        <f t="shared" si="15"/>
        <v>-8.4266740645698723E-3</v>
      </c>
    </row>
    <row r="454" spans="2:16">
      <c r="B454" s="44">
        <v>554.37788729359704</v>
      </c>
      <c r="C454" s="44">
        <v>555.85277363764612</v>
      </c>
      <c r="D454" s="44">
        <v>550.47143157152095</v>
      </c>
      <c r="E454" s="44">
        <v>553.45110060443108</v>
      </c>
      <c r="F454" s="44">
        <v>4311434.7526891446</v>
      </c>
      <c r="G454" s="44" t="s">
        <v>276</v>
      </c>
      <c r="H454" s="25">
        <f t="shared" si="16"/>
        <v>1.6745593028071326E-3</v>
      </c>
      <c r="J454" s="44">
        <v>580.17999999999995</v>
      </c>
      <c r="K454" s="44">
        <v>584.42269999999996</v>
      </c>
      <c r="L454" s="44">
        <v>577.35</v>
      </c>
      <c r="M454" s="44">
        <v>581.24</v>
      </c>
      <c r="N454" s="44">
        <v>1986680</v>
      </c>
      <c r="O454" s="44" t="s">
        <v>276</v>
      </c>
      <c r="P454" s="25">
        <f t="shared" si="15"/>
        <v>-1.8236872892437583E-3</v>
      </c>
    </row>
    <row r="455" spans="2:16">
      <c r="B455" s="44">
        <v>551.49787274339303</v>
      </c>
      <c r="C455" s="44">
        <v>553.58065143194881</v>
      </c>
      <c r="D455" s="44">
        <v>549.06640301984885</v>
      </c>
      <c r="E455" s="44">
        <v>553.25179163901896</v>
      </c>
      <c r="F455" s="44">
        <v>4188944.5277786455</v>
      </c>
      <c r="G455" s="44" t="s">
        <v>277</v>
      </c>
      <c r="H455" s="25">
        <f t="shared" si="16"/>
        <v>-3.1702001188824713E-3</v>
      </c>
      <c r="J455" s="44">
        <v>572.71</v>
      </c>
      <c r="K455" s="44">
        <v>578.41</v>
      </c>
      <c r="L455" s="44">
        <v>569.49</v>
      </c>
      <c r="M455" s="44">
        <v>571.11</v>
      </c>
      <c r="N455" s="44">
        <v>1597890</v>
      </c>
      <c r="O455" s="44" t="s">
        <v>277</v>
      </c>
      <c r="P455" s="25">
        <f t="shared" si="15"/>
        <v>2.8015618707428747E-3</v>
      </c>
    </row>
    <row r="456" spans="2:16">
      <c r="B456" s="44">
        <v>553.92944212141992</v>
      </c>
      <c r="C456" s="44">
        <v>554.72667798306804</v>
      </c>
      <c r="D456" s="44">
        <v>547.32234991801079</v>
      </c>
      <c r="E456" s="44">
        <v>550.39170798535611</v>
      </c>
      <c r="F456" s="44">
        <v>4179113.5600850987</v>
      </c>
      <c r="G456" s="44" t="s">
        <v>278</v>
      </c>
      <c r="H456" s="25">
        <f t="shared" si="16"/>
        <v>6.4276661234836663E-3</v>
      </c>
      <c r="J456" s="44">
        <v>574.14</v>
      </c>
      <c r="K456" s="44">
        <v>584.48</v>
      </c>
      <c r="L456" s="44">
        <v>563.85</v>
      </c>
      <c r="M456" s="44">
        <v>566.6</v>
      </c>
      <c r="N456" s="44">
        <v>2332427</v>
      </c>
      <c r="O456" s="44" t="s">
        <v>278</v>
      </c>
      <c r="P456" s="25">
        <f t="shared" si="15"/>
        <v>1.3307447935051009E-2</v>
      </c>
    </row>
    <row r="457" spans="2:16">
      <c r="B457" s="44">
        <v>549.32540502040172</v>
      </c>
      <c r="C457" s="44">
        <v>549.48485219273141</v>
      </c>
      <c r="D457" s="44">
        <v>544.94060778133689</v>
      </c>
      <c r="E457" s="44">
        <v>545.04026226404278</v>
      </c>
      <c r="F457" s="44">
        <v>7643795.6358382031</v>
      </c>
      <c r="G457" s="44" t="s">
        <v>279</v>
      </c>
      <c r="H457" s="25">
        <f t="shared" si="16"/>
        <v>7.8620664436033216E-3</v>
      </c>
      <c r="J457" s="44">
        <v>573.48</v>
      </c>
      <c r="K457" s="44">
        <v>579.34</v>
      </c>
      <c r="L457" s="44">
        <v>563.35</v>
      </c>
      <c r="M457" s="44">
        <v>574.67999999999995</v>
      </c>
      <c r="N457" s="44">
        <v>2441593</v>
      </c>
      <c r="O457" s="44" t="s">
        <v>279</v>
      </c>
      <c r="P457" s="25">
        <f t="shared" si="15"/>
        <v>-2.0881186051366907E-3</v>
      </c>
    </row>
    <row r="458" spans="2:16">
      <c r="B458" s="44">
        <v>557.0785237749302</v>
      </c>
      <c r="C458" s="44">
        <v>559.71936756663979</v>
      </c>
      <c r="D458" s="44">
        <v>556.09194439614055</v>
      </c>
      <c r="E458" s="44">
        <v>558.82247722228556</v>
      </c>
      <c r="F458" s="44">
        <v>3624664.8438843829</v>
      </c>
      <c r="G458" s="44" t="s">
        <v>280</v>
      </c>
      <c r="H458" s="25">
        <f t="shared" si="16"/>
        <v>-3.1207646765104569E-3</v>
      </c>
      <c r="J458" s="44">
        <v>584.04999999999995</v>
      </c>
      <c r="K458" s="44">
        <v>591.91</v>
      </c>
      <c r="L458" s="44">
        <v>573.32000000000005</v>
      </c>
      <c r="M458" s="44">
        <v>581.9</v>
      </c>
      <c r="N458" s="44">
        <v>4357650</v>
      </c>
      <c r="O458" s="44" t="s">
        <v>280</v>
      </c>
      <c r="P458" s="25">
        <f t="shared" si="15"/>
        <v>3.6947929197457263E-3</v>
      </c>
    </row>
    <row r="459" spans="2:16">
      <c r="B459" s="44">
        <v>558.76268453266198</v>
      </c>
      <c r="C459" s="44">
        <v>558.76268453266198</v>
      </c>
      <c r="D459" s="44">
        <v>554.87615970712704</v>
      </c>
      <c r="E459" s="44">
        <v>555.11533046562158</v>
      </c>
      <c r="F459" s="44">
        <v>6239436.3315723669</v>
      </c>
      <c r="G459" s="44" t="s">
        <v>281</v>
      </c>
      <c r="H459" s="25">
        <f t="shared" si="16"/>
        <v>6.5704437742353239E-3</v>
      </c>
      <c r="J459" s="44">
        <v>608.66</v>
      </c>
      <c r="K459" s="44">
        <v>616</v>
      </c>
      <c r="L459" s="44">
        <v>602</v>
      </c>
      <c r="M459" s="44">
        <v>612</v>
      </c>
      <c r="N459" s="44">
        <v>2322245</v>
      </c>
      <c r="O459" s="44" t="s">
        <v>281</v>
      </c>
      <c r="P459" s="25">
        <f t="shared" si="15"/>
        <v>-5.4575163398693505E-3</v>
      </c>
    </row>
    <row r="460" spans="2:16">
      <c r="B460" s="44">
        <v>555.68336101704597</v>
      </c>
      <c r="C460" s="44">
        <v>556.99870053428265</v>
      </c>
      <c r="D460" s="44">
        <v>554.80640156923289</v>
      </c>
      <c r="E460" s="44">
        <v>555.2648121896807</v>
      </c>
      <c r="F460" s="44">
        <v>4796609.1140134707</v>
      </c>
      <c r="G460" s="44" t="s">
        <v>282</v>
      </c>
      <c r="H460" s="25">
        <f t="shared" si="16"/>
        <v>7.5378237226075839E-4</v>
      </c>
      <c r="J460" s="44">
        <v>610.45000000000005</v>
      </c>
      <c r="K460" s="44">
        <v>614.72</v>
      </c>
      <c r="L460" s="44">
        <v>602.45000000000005</v>
      </c>
      <c r="M460" s="44">
        <v>608.02499999999998</v>
      </c>
      <c r="N460" s="44">
        <v>2100566</v>
      </c>
      <c r="O460" s="44" t="s">
        <v>282</v>
      </c>
      <c r="P460" s="25">
        <f t="shared" si="15"/>
        <v>3.9883228485670941E-3</v>
      </c>
    </row>
    <row r="461" spans="2:16">
      <c r="B461" s="44">
        <v>552.54424481180627</v>
      </c>
      <c r="C461" s="44">
        <v>552.54424481180627</v>
      </c>
      <c r="D461" s="44">
        <v>548.59792729664775</v>
      </c>
      <c r="E461" s="44">
        <v>550.41163888189737</v>
      </c>
      <c r="F461" s="44">
        <v>5320059.7264047191</v>
      </c>
      <c r="G461" s="44" t="s">
        <v>283</v>
      </c>
      <c r="H461" s="25">
        <f t="shared" si="16"/>
        <v>3.8745654692933229E-3</v>
      </c>
      <c r="J461" s="44">
        <v>604.12</v>
      </c>
      <c r="K461" s="44">
        <v>606.27</v>
      </c>
      <c r="L461" s="44">
        <v>593.81500000000005</v>
      </c>
      <c r="M461" s="44">
        <v>598.11</v>
      </c>
      <c r="N461" s="44">
        <v>1993501</v>
      </c>
      <c r="O461" s="44" t="s">
        <v>283</v>
      </c>
      <c r="P461" s="25">
        <f t="shared" si="15"/>
        <v>1.0048318871110684E-2</v>
      </c>
    </row>
    <row r="462" spans="2:16">
      <c r="B462" s="44">
        <v>547.56152067650521</v>
      </c>
      <c r="C462" s="44">
        <v>549.21578508942514</v>
      </c>
      <c r="D462" s="44">
        <v>545.7876708843379</v>
      </c>
      <c r="E462" s="44">
        <v>547.02338646989256</v>
      </c>
      <c r="F462" s="44">
        <v>6581390.843548785</v>
      </c>
      <c r="G462" s="44" t="s">
        <v>284</v>
      </c>
      <c r="H462" s="25">
        <f t="shared" si="16"/>
        <v>9.83749908912257E-4</v>
      </c>
      <c r="J462" s="44">
        <v>592.64</v>
      </c>
      <c r="K462" s="44">
        <v>597.67999999999995</v>
      </c>
      <c r="L462" s="44">
        <v>583.24</v>
      </c>
      <c r="M462" s="44">
        <v>597.67999999999995</v>
      </c>
      <c r="N462" s="44">
        <v>2635153</v>
      </c>
      <c r="O462" s="44" t="s">
        <v>284</v>
      </c>
      <c r="P462" s="25">
        <f t="shared" si="15"/>
        <v>-8.4326060768303845E-3</v>
      </c>
    </row>
    <row r="463" spans="2:16">
      <c r="B463" s="44">
        <v>542.35955667925089</v>
      </c>
      <c r="C463" s="44">
        <v>544.62171343667751</v>
      </c>
      <c r="D463" s="44">
        <v>541.51249357624965</v>
      </c>
      <c r="E463" s="44">
        <v>544.46226626434793</v>
      </c>
      <c r="F463" s="44">
        <v>3645347.3053656211</v>
      </c>
      <c r="G463" s="44" t="s">
        <v>285</v>
      </c>
      <c r="H463" s="25">
        <f t="shared" si="16"/>
        <v>-3.8619932277843549E-3</v>
      </c>
      <c r="J463" s="44">
        <v>584.08000000000004</v>
      </c>
      <c r="K463" s="44">
        <v>585.5</v>
      </c>
      <c r="L463" s="44">
        <v>573</v>
      </c>
      <c r="M463" s="44">
        <v>582.6</v>
      </c>
      <c r="N463" s="44">
        <v>2119549</v>
      </c>
      <c r="O463" s="44" t="s">
        <v>285</v>
      </c>
      <c r="P463" s="25">
        <f t="shared" si="15"/>
        <v>2.5403364229317216E-3</v>
      </c>
    </row>
    <row r="464" spans="2:16">
      <c r="B464" s="44">
        <v>543.16675798916958</v>
      </c>
      <c r="C464" s="44">
        <v>544.24302640239466</v>
      </c>
      <c r="D464" s="44">
        <v>539.88812550814146</v>
      </c>
      <c r="E464" s="44">
        <v>540.96439392136654</v>
      </c>
      <c r="F464" s="44">
        <v>5325719.2811451089</v>
      </c>
      <c r="G464" s="44" t="s">
        <v>286</v>
      </c>
      <c r="H464" s="25">
        <f t="shared" si="16"/>
        <v>4.0711811951956722E-3</v>
      </c>
      <c r="J464" s="44">
        <v>580.11</v>
      </c>
      <c r="K464" s="44">
        <v>584.6</v>
      </c>
      <c r="L464" s="44">
        <v>549.16999999999996</v>
      </c>
      <c r="M464" s="44">
        <v>555.04999999999995</v>
      </c>
      <c r="N464" s="44">
        <v>3553382</v>
      </c>
      <c r="O464" s="44" t="s">
        <v>286</v>
      </c>
      <c r="P464" s="25">
        <f t="shared" si="15"/>
        <v>4.5149085667957944E-2</v>
      </c>
    </row>
    <row r="465" spans="2:16">
      <c r="B465" s="44">
        <v>533.41058413225016</v>
      </c>
      <c r="C465" s="44">
        <v>536.04784036258229</v>
      </c>
      <c r="D465" s="44">
        <v>529.97738754854493</v>
      </c>
      <c r="E465" s="44">
        <v>535.46346647599421</v>
      </c>
      <c r="F465" s="44">
        <v>8850583.2959053349</v>
      </c>
      <c r="G465" s="44" t="s">
        <v>287</v>
      </c>
      <c r="H465" s="25">
        <f t="shared" si="16"/>
        <v>-3.8338420308196008E-3</v>
      </c>
      <c r="J465" s="44">
        <v>538.88</v>
      </c>
      <c r="K465" s="44">
        <v>544.54999999999995</v>
      </c>
      <c r="L465" s="44">
        <v>535.59</v>
      </c>
      <c r="M465" s="44">
        <v>539.28</v>
      </c>
      <c r="N465" s="44">
        <v>1355120</v>
      </c>
      <c r="O465" s="44" t="s">
        <v>287</v>
      </c>
      <c r="P465" s="25">
        <f t="shared" si="15"/>
        <v>-7.4172971369224072E-4</v>
      </c>
    </row>
    <row r="466" spans="2:16">
      <c r="B466" s="44">
        <v>532.7329336498492</v>
      </c>
      <c r="C466" s="44">
        <v>533.06179344277905</v>
      </c>
      <c r="D466" s="44">
        <v>527.19214441139434</v>
      </c>
      <c r="E466" s="44">
        <v>527.5708314456773</v>
      </c>
      <c r="F466" s="44">
        <v>5640499.9026304344</v>
      </c>
      <c r="G466" s="44" t="s">
        <v>288</v>
      </c>
      <c r="H466" s="25">
        <f t="shared" si="16"/>
        <v>9.7846618813750563E-3</v>
      </c>
      <c r="J466" s="44">
        <v>539.75</v>
      </c>
      <c r="K466" s="44">
        <v>543.75440000000003</v>
      </c>
      <c r="L466" s="44">
        <v>530.25</v>
      </c>
      <c r="M466" s="44">
        <v>543.4</v>
      </c>
      <c r="N466" s="44">
        <v>1461405</v>
      </c>
      <c r="O466" s="44" t="s">
        <v>288</v>
      </c>
      <c r="P466" s="25">
        <f t="shared" si="15"/>
        <v>-6.7169672432829675E-3</v>
      </c>
    </row>
    <row r="467" spans="2:16">
      <c r="B467" s="44">
        <v>532.04531771917766</v>
      </c>
      <c r="C467" s="44">
        <v>536.88852557869029</v>
      </c>
      <c r="D467" s="44">
        <v>530.16184799603388</v>
      </c>
      <c r="E467" s="44">
        <v>536.84866378560787</v>
      </c>
      <c r="F467" s="44">
        <v>7962714.5558606498</v>
      </c>
      <c r="G467" s="44" t="s">
        <v>289</v>
      </c>
      <c r="H467" s="25">
        <f t="shared" si="16"/>
        <v>-8.9473000315568596E-3</v>
      </c>
      <c r="J467" s="44">
        <v>547.47</v>
      </c>
      <c r="K467" s="44">
        <v>550.17999999999995</v>
      </c>
      <c r="L467" s="44">
        <v>537.16999999999996</v>
      </c>
      <c r="M467" s="44">
        <v>540.55999999999995</v>
      </c>
      <c r="N467" s="44">
        <v>1732379</v>
      </c>
      <c r="O467" s="44" t="s">
        <v>289</v>
      </c>
      <c r="P467" s="25">
        <f t="shared" si="15"/>
        <v>1.2783039810567054E-2</v>
      </c>
    </row>
    <row r="468" spans="2:16">
      <c r="B468" s="44">
        <v>540.26681254242442</v>
      </c>
      <c r="C468" s="44">
        <v>541.12384109369623</v>
      </c>
      <c r="D468" s="44">
        <v>536.22084054456002</v>
      </c>
      <c r="E468" s="44">
        <v>539.44964578423503</v>
      </c>
      <c r="F468" s="44">
        <v>4331966.6940975003</v>
      </c>
      <c r="G468" s="44" t="s">
        <v>290</v>
      </c>
      <c r="H468" s="25">
        <f t="shared" si="16"/>
        <v>1.5148156358530951E-3</v>
      </c>
      <c r="J468" s="44">
        <v>544.02</v>
      </c>
      <c r="K468" s="44">
        <v>547.47270000000003</v>
      </c>
      <c r="L468" s="44">
        <v>532</v>
      </c>
      <c r="M468" s="44">
        <v>533.33000000000004</v>
      </c>
      <c r="N468" s="44">
        <v>1359579</v>
      </c>
      <c r="O468" s="44" t="s">
        <v>290</v>
      </c>
      <c r="P468" s="25">
        <f t="shared" si="15"/>
        <v>2.0043875274220246E-2</v>
      </c>
    </row>
    <row r="469" spans="2:16">
      <c r="B469" s="44">
        <v>539.53933481867045</v>
      </c>
      <c r="C469" s="44">
        <v>547.70103695229363</v>
      </c>
      <c r="D469" s="44">
        <v>537.69572688860899</v>
      </c>
      <c r="E469" s="44">
        <v>547.42200440071679</v>
      </c>
      <c r="F469" s="44">
        <v>5401899.496965358</v>
      </c>
      <c r="G469" s="44" t="s">
        <v>291</v>
      </c>
      <c r="H469" s="25">
        <f t="shared" si="16"/>
        <v>-1.439962135003281E-2</v>
      </c>
      <c r="J469" s="44">
        <v>531.88</v>
      </c>
      <c r="K469" s="44">
        <v>550</v>
      </c>
      <c r="L469" s="44">
        <v>530.45000000000005</v>
      </c>
      <c r="M469" s="44">
        <v>547.67499999999995</v>
      </c>
      <c r="N469" s="44">
        <v>1589730</v>
      </c>
      <c r="O469" s="44" t="s">
        <v>291</v>
      </c>
      <c r="P469" s="25">
        <f t="shared" si="15"/>
        <v>-2.8840096772720925E-2</v>
      </c>
    </row>
    <row r="470" spans="2:16">
      <c r="B470" s="44">
        <v>545.67805095336143</v>
      </c>
      <c r="C470" s="44">
        <v>549.52471398581372</v>
      </c>
      <c r="D470" s="44">
        <v>543.93409750600608</v>
      </c>
      <c r="E470" s="44">
        <v>546.38559778057413</v>
      </c>
      <c r="F470" s="44">
        <v>6004180.4819267448</v>
      </c>
      <c r="G470" s="44" t="s">
        <v>292</v>
      </c>
      <c r="H470" s="25">
        <f t="shared" si="16"/>
        <v>-1.2949587801851514E-3</v>
      </c>
      <c r="J470" s="44">
        <v>542.37</v>
      </c>
      <c r="K470" s="44">
        <v>543.74</v>
      </c>
      <c r="L470" s="44">
        <v>532.15</v>
      </c>
      <c r="M470" s="44">
        <v>535.29</v>
      </c>
      <c r="N470" s="44">
        <v>1229214</v>
      </c>
      <c r="O470" s="44" t="s">
        <v>292</v>
      </c>
      <c r="P470" s="25">
        <f t="shared" si="15"/>
        <v>1.3226475368491863E-2</v>
      </c>
    </row>
    <row r="471" spans="2:16">
      <c r="B471" s="44">
        <v>542.51900385158046</v>
      </c>
      <c r="C471" s="44">
        <v>542.99734536856943</v>
      </c>
      <c r="D471" s="44">
        <v>537.33697075086741</v>
      </c>
      <c r="E471" s="44">
        <v>538.32355012965706</v>
      </c>
      <c r="F471" s="44">
        <v>6441920.9509499632</v>
      </c>
      <c r="G471" s="44" t="s">
        <v>293</v>
      </c>
      <c r="H471" s="25">
        <f t="shared" si="16"/>
        <v>7.7935541198466129E-3</v>
      </c>
      <c r="J471" s="44">
        <v>535.29499999999996</v>
      </c>
      <c r="K471" s="44">
        <v>536.65</v>
      </c>
      <c r="L471" s="44">
        <v>525.34500000000003</v>
      </c>
      <c r="M471" s="44">
        <v>527.60500000000002</v>
      </c>
      <c r="N471" s="44">
        <v>1250986</v>
      </c>
      <c r="O471" s="44" t="s">
        <v>293</v>
      </c>
      <c r="P471" s="25">
        <f t="shared" si="15"/>
        <v>1.4575297808019139E-2</v>
      </c>
    </row>
    <row r="472" spans="2:16">
      <c r="B472" s="44">
        <v>535.60298275178263</v>
      </c>
      <c r="C472" s="44">
        <v>541.66187564582594</v>
      </c>
      <c r="D472" s="44">
        <v>531.95064596060683</v>
      </c>
      <c r="E472" s="44">
        <v>540.14722716317715</v>
      </c>
      <c r="F472" s="44">
        <v>7167462.8235950079</v>
      </c>
      <c r="G472" s="44" t="s">
        <v>294</v>
      </c>
      <c r="H472" s="25">
        <f t="shared" si="16"/>
        <v>-8.4129736910075748E-3</v>
      </c>
      <c r="J472" s="44">
        <v>524.03</v>
      </c>
      <c r="K472" s="44">
        <v>528.89</v>
      </c>
      <c r="L472" s="44">
        <v>520.91750000000002</v>
      </c>
      <c r="M472" s="44">
        <v>521.19000000000005</v>
      </c>
      <c r="N472" s="44">
        <v>907705</v>
      </c>
      <c r="O472" s="44" t="s">
        <v>294</v>
      </c>
      <c r="P472" s="25">
        <f t="shared" si="15"/>
        <v>5.4490684779062715E-3</v>
      </c>
    </row>
    <row r="473" spans="2:16">
      <c r="B473" s="44">
        <v>536.94831826831387</v>
      </c>
      <c r="C473" s="44">
        <v>541.1887161619378</v>
      </c>
      <c r="D473" s="44">
        <v>535.54328971664165</v>
      </c>
      <c r="E473" s="44">
        <v>540.57574143881311</v>
      </c>
      <c r="F473" s="44">
        <v>6061694.2017752314</v>
      </c>
      <c r="G473" s="44" t="s">
        <v>295</v>
      </c>
      <c r="H473" s="25">
        <f t="shared" si="16"/>
        <v>-6.7102958798046508E-3</v>
      </c>
      <c r="J473" s="44">
        <v>521.96</v>
      </c>
      <c r="K473" s="44">
        <v>529.80999999999995</v>
      </c>
      <c r="L473" s="44">
        <v>520.01009999999997</v>
      </c>
      <c r="M473" s="44">
        <v>527.77</v>
      </c>
      <c r="N473" s="44">
        <v>884011</v>
      </c>
      <c r="O473" s="44" t="s">
        <v>295</v>
      </c>
      <c r="P473" s="25">
        <f t="shared" si="15"/>
        <v>-1.1008583284385143E-2</v>
      </c>
    </row>
    <row r="474" spans="2:16">
      <c r="B474" s="44">
        <v>539.12078599130518</v>
      </c>
      <c r="C474" s="44">
        <v>542.21007495519189</v>
      </c>
      <c r="D474" s="44">
        <v>535.54319006215894</v>
      </c>
      <c r="E474" s="44">
        <v>538.69227171566922</v>
      </c>
      <c r="F474" s="44">
        <v>6527643.1359238243</v>
      </c>
      <c r="G474" s="44" t="s">
        <v>296</v>
      </c>
      <c r="H474" s="25">
        <f t="shared" si="16"/>
        <v>7.9547136303115273E-4</v>
      </c>
      <c r="J474" s="44">
        <v>526.96</v>
      </c>
      <c r="K474" s="44">
        <v>529.02</v>
      </c>
      <c r="L474" s="44">
        <v>520.55999999999995</v>
      </c>
      <c r="M474" s="44">
        <v>528.42999999999995</v>
      </c>
      <c r="N474" s="44">
        <v>900000</v>
      </c>
      <c r="O474" s="44" t="s">
        <v>296</v>
      </c>
      <c r="P474" s="25">
        <f t="shared" si="15"/>
        <v>-2.7818254073385118E-3</v>
      </c>
    </row>
    <row r="475" spans="2:16">
      <c r="B475" s="44">
        <v>545.1897439881019</v>
      </c>
      <c r="C475" s="44">
        <v>547.72096784883479</v>
      </c>
      <c r="D475" s="44">
        <v>541.32324971359094</v>
      </c>
      <c r="E475" s="44">
        <v>547.47183164206979</v>
      </c>
      <c r="F475" s="44">
        <v>7101672.5066722762</v>
      </c>
      <c r="G475" s="44" t="s">
        <v>297</v>
      </c>
      <c r="H475" s="25">
        <f t="shared" si="16"/>
        <v>-4.1684110890656267E-3</v>
      </c>
      <c r="J475" s="44">
        <v>534.88</v>
      </c>
      <c r="K475" s="44">
        <v>537.34</v>
      </c>
      <c r="L475" s="44">
        <v>529.30999999999995</v>
      </c>
      <c r="M475" s="44">
        <v>536.01</v>
      </c>
      <c r="N475" s="44">
        <v>1013217</v>
      </c>
      <c r="O475" s="44" t="s">
        <v>297</v>
      </c>
      <c r="P475" s="25">
        <f t="shared" si="15"/>
        <v>-2.1081696237010839E-3</v>
      </c>
    </row>
    <row r="476" spans="2:16">
      <c r="B476" s="44">
        <v>550.8999458471568</v>
      </c>
      <c r="C476" s="44">
        <v>552.05593784654673</v>
      </c>
      <c r="D476" s="44">
        <v>548.02003095143561</v>
      </c>
      <c r="E476" s="44">
        <v>549.29550867558999</v>
      </c>
      <c r="F476" s="44">
        <v>4511857.2470682478</v>
      </c>
      <c r="G476" s="44" t="s">
        <v>298</v>
      </c>
      <c r="H476" s="25">
        <f t="shared" si="16"/>
        <v>2.9208998548619913E-3</v>
      </c>
      <c r="J476" s="44">
        <v>538.83000000000004</v>
      </c>
      <c r="K476" s="44">
        <v>540.13</v>
      </c>
      <c r="L476" s="44">
        <v>533.99</v>
      </c>
      <c r="M476" s="44">
        <v>534.86</v>
      </c>
      <c r="N476" s="44">
        <v>767024</v>
      </c>
      <c r="O476" s="44" t="s">
        <v>298</v>
      </c>
      <c r="P476" s="25">
        <f t="shared" si="15"/>
        <v>7.4225030849195406E-3</v>
      </c>
    </row>
    <row r="477" spans="2:16">
      <c r="B477" s="44">
        <v>550.90991129542749</v>
      </c>
      <c r="C477" s="44">
        <v>550.98963488159222</v>
      </c>
      <c r="D477" s="44">
        <v>545.64815460854948</v>
      </c>
      <c r="E477" s="44">
        <v>546.16635791862086</v>
      </c>
      <c r="F477" s="44">
        <v>3451174.4044126086</v>
      </c>
      <c r="G477" s="44" t="s">
        <v>299</v>
      </c>
      <c r="H477" s="25">
        <f t="shared" si="16"/>
        <v>8.6851804546947964E-3</v>
      </c>
      <c r="J477" s="44">
        <v>537.02</v>
      </c>
      <c r="K477" s="44">
        <v>537.36</v>
      </c>
      <c r="L477" s="44">
        <v>527.26</v>
      </c>
      <c r="M477" s="44">
        <v>528.005</v>
      </c>
      <c r="N477" s="44">
        <v>629180</v>
      </c>
      <c r="O477" s="44" t="s">
        <v>299</v>
      </c>
      <c r="P477" s="25">
        <f t="shared" si="15"/>
        <v>1.7073701953580045E-2</v>
      </c>
    </row>
    <row r="478" spans="2:16">
      <c r="B478" s="44">
        <v>545.29936391907859</v>
      </c>
      <c r="C478" s="44">
        <v>545.46877653967874</v>
      </c>
      <c r="D478" s="44">
        <v>538.45310095717491</v>
      </c>
      <c r="E478" s="44">
        <v>541.43276999008481</v>
      </c>
      <c r="F478" s="44">
        <v>7087844.7293101177</v>
      </c>
      <c r="G478" s="44" t="s">
        <v>300</v>
      </c>
      <c r="H478" s="25">
        <f t="shared" si="16"/>
        <v>7.1414109808398685E-3</v>
      </c>
      <c r="J478" s="44">
        <v>527.22</v>
      </c>
      <c r="K478" s="44">
        <v>527.94240000000002</v>
      </c>
      <c r="L478" s="44">
        <v>520.03</v>
      </c>
      <c r="M478" s="44">
        <v>524.88</v>
      </c>
      <c r="N478" s="44">
        <v>1070062</v>
      </c>
      <c r="O478" s="44" t="s">
        <v>300</v>
      </c>
      <c r="P478" s="25">
        <f t="shared" si="15"/>
        <v>4.4581618655692434E-3</v>
      </c>
    </row>
    <row r="479" spans="2:16">
      <c r="B479" s="44">
        <v>541.42429935905466</v>
      </c>
      <c r="C479" s="44">
        <v>545.89444714108117</v>
      </c>
      <c r="D479" s="44">
        <v>532.29526422198273</v>
      </c>
      <c r="E479" s="44">
        <v>533.05022251405831</v>
      </c>
      <c r="F479" s="44">
        <v>9452116.6995613053</v>
      </c>
      <c r="G479" s="44" t="s">
        <v>301</v>
      </c>
      <c r="H479" s="25">
        <f t="shared" si="16"/>
        <v>1.5709733325879105E-2</v>
      </c>
      <c r="J479" s="44">
        <v>524.42999999999995</v>
      </c>
      <c r="K479" s="44">
        <v>530.97379999999998</v>
      </c>
      <c r="L479" s="44">
        <v>516.17999999999995</v>
      </c>
      <c r="M479" s="44">
        <v>521.45000000000005</v>
      </c>
      <c r="N479" s="44">
        <v>3934186</v>
      </c>
      <c r="O479" s="44" t="s">
        <v>301</v>
      </c>
      <c r="P479" s="25">
        <f t="shared" si="15"/>
        <v>5.7148336369736707E-3</v>
      </c>
    </row>
    <row r="480" spans="2:16">
      <c r="B480" s="44">
        <v>535.36476569897434</v>
      </c>
      <c r="C480" s="44">
        <v>541.48390132948168</v>
      </c>
      <c r="D480" s="44">
        <v>535.07668950857703</v>
      </c>
      <c r="E480" s="44">
        <v>540.08325502444677</v>
      </c>
      <c r="F480" s="44">
        <v>16904264.956033021</v>
      </c>
      <c r="G480" s="44" t="s">
        <v>302</v>
      </c>
      <c r="H480" s="25">
        <f t="shared" si="16"/>
        <v>-8.7365962221117588E-3</v>
      </c>
      <c r="J480" s="44">
        <v>523.91</v>
      </c>
      <c r="K480" s="44">
        <v>536.5</v>
      </c>
      <c r="L480" s="44">
        <v>523.41</v>
      </c>
      <c r="M480" s="44">
        <v>532.73500000000001</v>
      </c>
      <c r="N480" s="44">
        <v>2066806</v>
      </c>
      <c r="O480" s="44" t="s">
        <v>302</v>
      </c>
      <c r="P480" s="25">
        <f t="shared" si="15"/>
        <v>-1.656545937473608E-2</v>
      </c>
    </row>
    <row r="481" spans="2:16">
      <c r="B481" s="44">
        <v>535.56343893373094</v>
      </c>
      <c r="C481" s="44">
        <v>553.83144286961283</v>
      </c>
      <c r="D481" s="44">
        <v>534.95748556772298</v>
      </c>
      <c r="E481" s="44">
        <v>551.61623630207521</v>
      </c>
      <c r="F481" s="44">
        <v>24749111.303395186</v>
      </c>
      <c r="G481" s="44" t="s">
        <v>303</v>
      </c>
      <c r="H481" s="25">
        <f t="shared" si="16"/>
        <v>-2.9101386637853555E-2</v>
      </c>
      <c r="J481" s="44">
        <v>526.47</v>
      </c>
      <c r="K481" s="44">
        <v>547.18899999999996</v>
      </c>
      <c r="L481" s="44">
        <v>526.23</v>
      </c>
      <c r="M481" s="44">
        <v>543.12</v>
      </c>
      <c r="N481" s="44">
        <v>1488083</v>
      </c>
      <c r="O481" s="44" t="s">
        <v>303</v>
      </c>
      <c r="P481" s="25">
        <f t="shared" si="15"/>
        <v>-3.0656208572691024E-2</v>
      </c>
    </row>
    <row r="482" spans="2:16">
      <c r="B482" s="44">
        <v>551.76524122814283</v>
      </c>
      <c r="C482" s="44">
        <v>552.69403860063051</v>
      </c>
      <c r="D482" s="44">
        <v>550.61293646655361</v>
      </c>
      <c r="E482" s="44">
        <v>551.78510855161846</v>
      </c>
      <c r="F482" s="44">
        <v>6151689.2373373276</v>
      </c>
      <c r="G482" s="44" t="s">
        <v>304</v>
      </c>
      <c r="H482" s="25">
        <f t="shared" si="16"/>
        <v>-3.6005544853834337E-5</v>
      </c>
      <c r="J482" s="44">
        <v>545.16</v>
      </c>
      <c r="K482" s="44">
        <v>546.01</v>
      </c>
      <c r="L482" s="44">
        <v>531.41999999999996</v>
      </c>
      <c r="M482" s="44">
        <v>539.495</v>
      </c>
      <c r="N482" s="44">
        <v>1476040</v>
      </c>
      <c r="O482" s="44" t="s">
        <v>304</v>
      </c>
      <c r="P482" s="25">
        <f t="shared" si="15"/>
        <v>1.0500560709552298E-2</v>
      </c>
    </row>
    <row r="483" spans="2:16">
      <c r="B483" s="44">
        <v>554.08971807479656</v>
      </c>
      <c r="C483" s="44">
        <v>555.09132918782268</v>
      </c>
      <c r="D483" s="44">
        <v>552.72383958584396</v>
      </c>
      <c r="E483" s="44">
        <v>553.43409640009929</v>
      </c>
      <c r="F483" s="44">
        <v>22999352.708959177</v>
      </c>
      <c r="G483" s="44" t="s">
        <v>305</v>
      </c>
      <c r="H483" s="25">
        <f t="shared" si="16"/>
        <v>1.1846427225243872E-3</v>
      </c>
      <c r="J483" s="44">
        <v>541.99</v>
      </c>
      <c r="K483" s="44">
        <v>547.9</v>
      </c>
      <c r="L483" s="44">
        <v>539.11</v>
      </c>
      <c r="M483" s="44">
        <v>539.97500000000002</v>
      </c>
      <c r="N483" s="44">
        <v>1534879</v>
      </c>
      <c r="O483" s="44" t="s">
        <v>305</v>
      </c>
      <c r="P483" s="25">
        <f t="shared" si="15"/>
        <v>3.7316542432519473E-3</v>
      </c>
    </row>
    <row r="484" spans="2:16">
      <c r="B484" s="44">
        <v>551.92417981594815</v>
      </c>
      <c r="C484" s="44">
        <v>554.45726355909653</v>
      </c>
      <c r="D484" s="44">
        <v>550.5279043220778</v>
      </c>
      <c r="E484" s="44">
        <v>553.81157554613708</v>
      </c>
      <c r="F484" s="44">
        <v>4698028.9073304981</v>
      </c>
      <c r="G484" s="44" t="s">
        <v>306</v>
      </c>
      <c r="H484" s="25">
        <f t="shared" si="16"/>
        <v>-3.4080106186434866E-3</v>
      </c>
      <c r="J484" s="44">
        <v>539.58000000000004</v>
      </c>
      <c r="K484" s="44">
        <v>547.1</v>
      </c>
      <c r="L484" s="44">
        <v>539.03</v>
      </c>
      <c r="M484" s="44">
        <v>542.59</v>
      </c>
      <c r="N484" s="44">
        <v>1071762</v>
      </c>
      <c r="O484" s="44" t="s">
        <v>306</v>
      </c>
      <c r="P484" s="25">
        <f t="shared" si="15"/>
        <v>-5.5474667797047461E-3</v>
      </c>
    </row>
    <row r="485" spans="2:16">
      <c r="B485" s="44">
        <v>551.96391446289942</v>
      </c>
      <c r="C485" s="44">
        <v>554.49699820604792</v>
      </c>
      <c r="D485" s="44">
        <v>551.93411347768597</v>
      </c>
      <c r="E485" s="44">
        <v>553.97051413394252</v>
      </c>
      <c r="F485" s="44">
        <v>4075639.0813863762</v>
      </c>
      <c r="G485" s="44" t="s">
        <v>307</v>
      </c>
      <c r="H485" s="25">
        <f t="shared" si="16"/>
        <v>-3.6222138540715765E-3</v>
      </c>
      <c r="J485" s="44">
        <v>544.72</v>
      </c>
      <c r="K485" s="44">
        <v>550.47</v>
      </c>
      <c r="L485" s="44">
        <v>541.37</v>
      </c>
      <c r="M485" s="44">
        <v>543.1</v>
      </c>
      <c r="N485" s="44">
        <v>1213291</v>
      </c>
      <c r="O485" s="44" t="s">
        <v>307</v>
      </c>
      <c r="P485" s="25">
        <f t="shared" si="15"/>
        <v>2.9828760817529609E-3</v>
      </c>
    </row>
    <row r="486" spans="2:16">
      <c r="B486" s="44">
        <v>554.8248090433965</v>
      </c>
      <c r="C486" s="44">
        <v>555.67910395285048</v>
      </c>
      <c r="D486" s="44">
        <v>552.96721429842103</v>
      </c>
      <c r="E486" s="44">
        <v>553.22548950360476</v>
      </c>
      <c r="F486" s="44">
        <v>3537886.7257114095</v>
      </c>
      <c r="G486" s="44" t="s">
        <v>308</v>
      </c>
      <c r="H486" s="25">
        <f t="shared" si="16"/>
        <v>2.8908999497234689E-3</v>
      </c>
      <c r="J486" s="44">
        <v>543.6</v>
      </c>
      <c r="K486" s="44">
        <v>548.5299</v>
      </c>
      <c r="L486" s="44">
        <v>538.22</v>
      </c>
      <c r="M486" s="44">
        <v>538.22</v>
      </c>
      <c r="N486" s="44">
        <v>999713</v>
      </c>
      <c r="O486" s="44" t="s">
        <v>308</v>
      </c>
      <c r="P486" s="25">
        <f t="shared" si="15"/>
        <v>9.9959124521571407E-3</v>
      </c>
    </row>
    <row r="487" spans="2:16">
      <c r="B487" s="44">
        <v>550.65267111350511</v>
      </c>
      <c r="C487" s="44">
        <v>553.18575485665338</v>
      </c>
      <c r="D487" s="44">
        <v>549.89771282142954</v>
      </c>
      <c r="E487" s="44">
        <v>552.88774500451837</v>
      </c>
      <c r="F487" s="44">
        <v>4137560.8597027324</v>
      </c>
      <c r="G487" s="44" t="s">
        <v>309</v>
      </c>
      <c r="H487" s="25">
        <f t="shared" si="16"/>
        <v>-4.0425455460131321E-3</v>
      </c>
      <c r="J487" s="44">
        <v>538.09</v>
      </c>
      <c r="K487" s="44">
        <v>543.32500000000005</v>
      </c>
      <c r="L487" s="44">
        <v>536.67999999999995</v>
      </c>
      <c r="M487" s="44">
        <v>540.15499999999997</v>
      </c>
      <c r="N487" s="44">
        <v>1047954</v>
      </c>
      <c r="O487" s="44" t="s">
        <v>309</v>
      </c>
      <c r="P487" s="25">
        <f t="shared" si="15"/>
        <v>-3.8229767381583457E-3</v>
      </c>
    </row>
    <row r="488" spans="2:16">
      <c r="B488" s="44">
        <v>552.22218966808327</v>
      </c>
      <c r="C488" s="44">
        <v>555.15758671161404</v>
      </c>
      <c r="D488" s="44">
        <v>551.69570559597787</v>
      </c>
      <c r="E488" s="44">
        <v>555.00361495467757</v>
      </c>
      <c r="F488" s="44">
        <v>4441741.7428196585</v>
      </c>
      <c r="G488" s="44" t="s">
        <v>310</v>
      </c>
      <c r="H488" s="25">
        <f t="shared" si="16"/>
        <v>-5.0115444506094731E-3</v>
      </c>
      <c r="J488" s="44">
        <v>538.86</v>
      </c>
      <c r="K488" s="44">
        <v>553.5607</v>
      </c>
      <c r="L488" s="44">
        <v>532.14</v>
      </c>
      <c r="M488" s="44">
        <v>552.30999999999995</v>
      </c>
      <c r="N488" s="44">
        <v>1429189</v>
      </c>
      <c r="O488" s="44" t="s">
        <v>310</v>
      </c>
      <c r="P488" s="25">
        <f t="shared" si="15"/>
        <v>-2.435226593760742E-2</v>
      </c>
    </row>
    <row r="489" spans="2:16">
      <c r="B489" s="44">
        <v>555.1128852337938</v>
      </c>
      <c r="C489" s="44">
        <v>556.24532267190716</v>
      </c>
      <c r="D489" s="44">
        <v>554.37779426519387</v>
      </c>
      <c r="E489" s="44">
        <v>554.76520707296947</v>
      </c>
      <c r="F489" s="44">
        <v>5169171.3846481517</v>
      </c>
      <c r="G489" s="44" t="s">
        <v>311</v>
      </c>
      <c r="H489" s="25">
        <f t="shared" si="16"/>
        <v>6.2671226744503983E-4</v>
      </c>
      <c r="J489" s="44">
        <v>550.41</v>
      </c>
      <c r="K489" s="44">
        <v>556.23</v>
      </c>
      <c r="L489" s="44">
        <v>548.21</v>
      </c>
      <c r="M489" s="44">
        <v>548.21</v>
      </c>
      <c r="N489" s="44">
        <v>1026321</v>
      </c>
      <c r="O489" s="44" t="s">
        <v>311</v>
      </c>
      <c r="P489" s="25">
        <f t="shared" si="15"/>
        <v>4.0130606884221098E-3</v>
      </c>
    </row>
    <row r="490" spans="2:16">
      <c r="B490" s="44">
        <v>554.0102487808939</v>
      </c>
      <c r="C490" s="44">
        <v>555.69897127632612</v>
      </c>
      <c r="D490" s="44">
        <v>553.76190723744799</v>
      </c>
      <c r="E490" s="44">
        <v>554.9241456607748</v>
      </c>
      <c r="F490" s="44">
        <v>3041739.3703784416</v>
      </c>
      <c r="G490" s="44" t="s">
        <v>312</v>
      </c>
      <c r="H490" s="25">
        <f t="shared" si="16"/>
        <v>-1.6468861321445871E-3</v>
      </c>
      <c r="J490" s="44">
        <v>547.65</v>
      </c>
      <c r="K490" s="44">
        <v>551.80999999999995</v>
      </c>
      <c r="L490" s="44">
        <v>544.42999999999995</v>
      </c>
      <c r="M490" s="44">
        <v>548</v>
      </c>
      <c r="N490" s="44">
        <v>945513</v>
      </c>
      <c r="O490" s="44" t="s">
        <v>312</v>
      </c>
      <c r="P490" s="25">
        <f t="shared" si="15"/>
        <v>-6.3868613138695629E-4</v>
      </c>
    </row>
    <row r="491" spans="2:16">
      <c r="B491" s="44">
        <v>554.93407932251262</v>
      </c>
      <c r="C491" s="44">
        <v>555.17248720422072</v>
      </c>
      <c r="D491" s="44">
        <v>552.48145823944083</v>
      </c>
      <c r="E491" s="44">
        <v>553.13608654796428</v>
      </c>
      <c r="F491" s="44">
        <v>5526986.0650556246</v>
      </c>
      <c r="G491" s="44" t="s">
        <v>313</v>
      </c>
      <c r="H491" s="25">
        <f t="shared" si="16"/>
        <v>3.2505432537757173E-3</v>
      </c>
      <c r="J491" s="44">
        <v>549.95000000000005</v>
      </c>
      <c r="K491" s="44">
        <v>552.08000000000004</v>
      </c>
      <c r="L491" s="44">
        <v>539.19500000000005</v>
      </c>
      <c r="M491" s="44">
        <v>542.01</v>
      </c>
      <c r="N491" s="44">
        <v>1350440</v>
      </c>
      <c r="O491" s="44" t="s">
        <v>313</v>
      </c>
      <c r="P491" s="25">
        <f t="shared" si="15"/>
        <v>1.4649176214461157E-2</v>
      </c>
    </row>
    <row r="492" spans="2:16">
      <c r="B492" s="44">
        <v>551.45729771426977</v>
      </c>
      <c r="C492" s="44">
        <v>551.74547324128446</v>
      </c>
      <c r="D492" s="44">
        <v>550.11625337966177</v>
      </c>
      <c r="E492" s="44">
        <v>551.11955321518337</v>
      </c>
      <c r="F492" s="44">
        <v>4230973.5432115309</v>
      </c>
      <c r="G492" s="44" t="s">
        <v>314</v>
      </c>
      <c r="H492" s="25">
        <f t="shared" si="16"/>
        <v>6.1283345349671947E-4</v>
      </c>
      <c r="J492" s="44">
        <v>541.71</v>
      </c>
      <c r="K492" s="44">
        <v>541.99</v>
      </c>
      <c r="L492" s="44">
        <v>533.01</v>
      </c>
      <c r="M492" s="44">
        <v>537.02</v>
      </c>
      <c r="N492" s="44">
        <v>1379372</v>
      </c>
      <c r="O492" s="44" t="s">
        <v>314</v>
      </c>
      <c r="P492" s="25">
        <f t="shared" ref="P492:P555" si="17">J492/M492-1</f>
        <v>8.7333805072438153E-3</v>
      </c>
    </row>
    <row r="493" spans="2:16">
      <c r="B493" s="44">
        <v>551.3281601116779</v>
      </c>
      <c r="C493" s="44">
        <v>551.88444516899688</v>
      </c>
      <c r="D493" s="44">
        <v>550.21558999704018</v>
      </c>
      <c r="E493" s="44">
        <v>550.68247209871856</v>
      </c>
      <c r="F493" s="44">
        <v>5477346.7665760098</v>
      </c>
      <c r="G493" s="44" t="s">
        <v>315</v>
      </c>
      <c r="H493" s="25">
        <f t="shared" si="16"/>
        <v>1.1725232700772192E-3</v>
      </c>
      <c r="J493" s="44">
        <v>542.85</v>
      </c>
      <c r="K493" s="44">
        <v>546.45000000000005</v>
      </c>
      <c r="L493" s="44">
        <v>540.19550000000004</v>
      </c>
      <c r="M493" s="44">
        <v>546.29999999999995</v>
      </c>
      <c r="N493" s="44">
        <v>1005366</v>
      </c>
      <c r="O493" s="44" t="s">
        <v>315</v>
      </c>
      <c r="P493" s="25">
        <f t="shared" si="17"/>
        <v>-6.3152114222952971E-3</v>
      </c>
    </row>
    <row r="494" spans="2:16">
      <c r="B494" s="44">
        <v>549.77850888057549</v>
      </c>
      <c r="C494" s="44">
        <v>551.02021659780507</v>
      </c>
      <c r="D494" s="44">
        <v>547.41429738697036</v>
      </c>
      <c r="E494" s="44">
        <v>547.6328379452026</v>
      </c>
      <c r="F494" s="44">
        <v>4015364.2284870273</v>
      </c>
      <c r="G494" s="44" t="s">
        <v>316</v>
      </c>
      <c r="H494" s="25">
        <f t="shared" si="16"/>
        <v>3.9180830415936896E-3</v>
      </c>
      <c r="J494" s="44">
        <v>542</v>
      </c>
      <c r="K494" s="44">
        <v>543.16999999999996</v>
      </c>
      <c r="L494" s="44">
        <v>536.03</v>
      </c>
      <c r="M494" s="44">
        <v>539</v>
      </c>
      <c r="N494" s="44">
        <v>718571</v>
      </c>
      <c r="O494" s="44" t="s">
        <v>316</v>
      </c>
      <c r="P494" s="25">
        <f t="shared" si="17"/>
        <v>5.5658627087198376E-3</v>
      </c>
    </row>
    <row r="495" spans="2:16">
      <c r="B495" s="44">
        <v>546.89774697660266</v>
      </c>
      <c r="C495" s="44">
        <v>548.71560707462686</v>
      </c>
      <c r="D495" s="44">
        <v>545.46729968635429</v>
      </c>
      <c r="E495" s="44">
        <v>548.37786257554035</v>
      </c>
      <c r="F495" s="44">
        <v>3334338.4216355425</v>
      </c>
      <c r="G495" s="44" t="s">
        <v>317</v>
      </c>
      <c r="H495" s="25">
        <f t="shared" si="16"/>
        <v>-2.6990797768278174E-3</v>
      </c>
      <c r="J495" s="44">
        <v>538.54999999999995</v>
      </c>
      <c r="K495" s="44">
        <v>543.97</v>
      </c>
      <c r="L495" s="44">
        <v>538.23</v>
      </c>
      <c r="M495" s="44">
        <v>543.08000000000004</v>
      </c>
      <c r="N495" s="44">
        <v>938549</v>
      </c>
      <c r="O495" s="44" t="s">
        <v>317</v>
      </c>
      <c r="P495" s="25">
        <f t="shared" si="17"/>
        <v>-8.3413125138103172E-3</v>
      </c>
    </row>
    <row r="496" spans="2:16">
      <c r="B496" s="44">
        <v>548.64607144246202</v>
      </c>
      <c r="C496" s="44">
        <v>549.15258885447429</v>
      </c>
      <c r="D496" s="44">
        <v>546.20239065495423</v>
      </c>
      <c r="E496" s="44">
        <v>546.84807866791357</v>
      </c>
      <c r="F496" s="44">
        <v>4468215.3642233675</v>
      </c>
      <c r="G496" s="44" t="s">
        <v>318</v>
      </c>
      <c r="H496" s="25">
        <f t="shared" si="16"/>
        <v>3.2879200726612101E-3</v>
      </c>
      <c r="J496" s="44">
        <v>542.1</v>
      </c>
      <c r="K496" s="44">
        <v>544.99990000000003</v>
      </c>
      <c r="L496" s="44">
        <v>537.28</v>
      </c>
      <c r="M496" s="44">
        <v>542.05999999999995</v>
      </c>
      <c r="N496" s="44">
        <v>1152817</v>
      </c>
      <c r="O496" s="44" t="s">
        <v>318</v>
      </c>
      <c r="P496" s="25">
        <f t="shared" si="17"/>
        <v>7.3792569088348969E-5</v>
      </c>
    </row>
    <row r="497" spans="2:16">
      <c r="B497" s="44">
        <v>545.58650362720834</v>
      </c>
      <c r="C497" s="44">
        <v>548.71560707462686</v>
      </c>
      <c r="D497" s="44">
        <v>543.56987095781005</v>
      </c>
      <c r="E497" s="44">
        <v>547.54343498956223</v>
      </c>
      <c r="F497" s="44">
        <v>4333750.3466647081</v>
      </c>
      <c r="G497" s="44" t="s">
        <v>319</v>
      </c>
      <c r="H497" s="25">
        <f t="shared" si="16"/>
        <v>-3.5740203193034281E-3</v>
      </c>
      <c r="J497" s="44">
        <v>536.54999999999995</v>
      </c>
      <c r="K497" s="44">
        <v>549.30999999999995</v>
      </c>
      <c r="L497" s="44">
        <v>533.55999999999995</v>
      </c>
      <c r="M497" s="44">
        <v>548.82000000000005</v>
      </c>
      <c r="N497" s="44">
        <v>2077227</v>
      </c>
      <c r="O497" s="44" t="s">
        <v>319</v>
      </c>
      <c r="P497" s="25">
        <f t="shared" si="17"/>
        <v>-2.2357056958565824E-2</v>
      </c>
    </row>
    <row r="498" spans="2:16">
      <c r="B498" s="44">
        <v>543.8381791613491</v>
      </c>
      <c r="C498" s="44">
        <v>544.41393419567407</v>
      </c>
      <c r="D498" s="44">
        <v>541.75211019640335</v>
      </c>
      <c r="E498" s="44">
        <v>542.19912497460598</v>
      </c>
      <c r="F498" s="44">
        <v>5611815.81084718</v>
      </c>
      <c r="G498" s="44" t="s">
        <v>320</v>
      </c>
      <c r="H498" s="25">
        <f t="shared" si="16"/>
        <v>3.0229746070133956E-3</v>
      </c>
      <c r="J498" s="44">
        <v>547.87</v>
      </c>
      <c r="K498" s="44">
        <v>552</v>
      </c>
      <c r="L498" s="44">
        <v>541.99</v>
      </c>
      <c r="M498" s="44">
        <v>549.84</v>
      </c>
      <c r="N498" s="44">
        <v>1375537</v>
      </c>
      <c r="O498" s="44" t="s">
        <v>320</v>
      </c>
      <c r="P498" s="25">
        <f t="shared" si="17"/>
        <v>-3.5828604684999821E-3</v>
      </c>
    </row>
    <row r="499" spans="2:16">
      <c r="B499" s="44">
        <v>542.02031906332491</v>
      </c>
      <c r="C499" s="44">
        <v>543.44083269183557</v>
      </c>
      <c r="D499" s="44">
        <v>536.45746849013631</v>
      </c>
      <c r="E499" s="44">
        <v>541.96071709289788</v>
      </c>
      <c r="F499" s="44">
        <v>4560875.0524926046</v>
      </c>
      <c r="G499" s="44" t="s">
        <v>321</v>
      </c>
      <c r="H499" s="25">
        <f t="shared" si="16"/>
        <v>1.0997470581775026E-4</v>
      </c>
      <c r="J499" s="44">
        <v>550.62</v>
      </c>
      <c r="K499" s="44">
        <v>551.78</v>
      </c>
      <c r="L499" s="44">
        <v>540.35500000000002</v>
      </c>
      <c r="M499" s="44">
        <v>544.85</v>
      </c>
      <c r="N499" s="44">
        <v>1396346</v>
      </c>
      <c r="O499" s="44" t="s">
        <v>321</v>
      </c>
      <c r="P499" s="25">
        <f t="shared" si="17"/>
        <v>1.0590070661649964E-2</v>
      </c>
    </row>
    <row r="500" spans="2:16">
      <c r="B500" s="44">
        <v>539.29849574715763</v>
      </c>
      <c r="C500" s="44">
        <v>539.46736799670089</v>
      </c>
      <c r="D500" s="44">
        <v>533.87471643829883</v>
      </c>
      <c r="E500" s="44">
        <v>539.17929180630358</v>
      </c>
      <c r="F500" s="44">
        <v>3975432.327193358</v>
      </c>
      <c r="G500" s="44" t="s">
        <v>322</v>
      </c>
      <c r="H500" s="25">
        <f t="shared" si="16"/>
        <v>2.2108404878595778E-4</v>
      </c>
      <c r="J500" s="44">
        <v>541.82000000000005</v>
      </c>
      <c r="K500" s="44">
        <v>542.37</v>
      </c>
      <c r="L500" s="44">
        <v>533.83000000000004</v>
      </c>
      <c r="M500" s="44">
        <v>538.78</v>
      </c>
      <c r="N500" s="44">
        <v>985389</v>
      </c>
      <c r="O500" s="44" t="s">
        <v>322</v>
      </c>
      <c r="P500" s="25">
        <f t="shared" si="17"/>
        <v>5.6423772226141811E-3</v>
      </c>
    </row>
    <row r="501" spans="2:16">
      <c r="B501" s="44">
        <v>539.09982251240092</v>
      </c>
      <c r="C501" s="44">
        <v>539.76537784883601</v>
      </c>
      <c r="D501" s="44">
        <v>533.3382987044555</v>
      </c>
      <c r="E501" s="44">
        <v>533.93431840872574</v>
      </c>
      <c r="F501" s="44">
        <v>7024975.4664181583</v>
      </c>
      <c r="G501" s="44" t="s">
        <v>323</v>
      </c>
      <c r="H501" s="25">
        <f t="shared" si="16"/>
        <v>9.674418604651347E-3</v>
      </c>
      <c r="J501" s="44">
        <v>538.82000000000005</v>
      </c>
      <c r="K501" s="44">
        <v>540.08000000000004</v>
      </c>
      <c r="L501" s="44">
        <v>526.01</v>
      </c>
      <c r="M501" s="44">
        <v>527.57000000000005</v>
      </c>
      <c r="N501" s="44">
        <v>1143225</v>
      </c>
      <c r="O501" s="44" t="s">
        <v>323</v>
      </c>
      <c r="P501" s="25">
        <f t="shared" si="17"/>
        <v>2.1324184468411778E-2</v>
      </c>
    </row>
    <row r="502" spans="2:16">
      <c r="B502" s="44">
        <v>537.14289115004703</v>
      </c>
      <c r="C502" s="44">
        <v>538.33493055858742</v>
      </c>
      <c r="D502" s="44">
        <v>534.57503959081623</v>
      </c>
      <c r="E502" s="44">
        <v>535.34489837549859</v>
      </c>
      <c r="F502" s="44">
        <v>4534325.9302293137</v>
      </c>
      <c r="G502" s="44" t="s">
        <v>324</v>
      </c>
      <c r="H502" s="25">
        <f t="shared" si="16"/>
        <v>3.3585689898314453E-3</v>
      </c>
      <c r="J502" s="44">
        <v>531.64</v>
      </c>
      <c r="K502" s="44">
        <v>537.53</v>
      </c>
      <c r="L502" s="44">
        <v>526.60670000000005</v>
      </c>
      <c r="M502" s="44">
        <v>527.36</v>
      </c>
      <c r="N502" s="44">
        <v>1268101</v>
      </c>
      <c r="O502" s="44" t="s">
        <v>324</v>
      </c>
      <c r="P502" s="25">
        <f t="shared" si="17"/>
        <v>8.1158980582523021E-3</v>
      </c>
    </row>
    <row r="503" spans="2:16">
      <c r="B503" s="44">
        <v>534.92768458250941</v>
      </c>
      <c r="C503" s="44">
        <v>538.97068490980905</v>
      </c>
      <c r="D503" s="44">
        <v>533.18929377838799</v>
      </c>
      <c r="E503" s="44">
        <v>538.53360379334424</v>
      </c>
      <c r="F503" s="44">
        <v>7409265.7815855956</v>
      </c>
      <c r="G503" s="44" t="s">
        <v>325</v>
      </c>
      <c r="H503" s="25">
        <f t="shared" si="16"/>
        <v>-6.6958109678492139E-3</v>
      </c>
      <c r="J503" s="44">
        <v>527.61</v>
      </c>
      <c r="K503" s="44">
        <v>536.98</v>
      </c>
      <c r="L503" s="44">
        <v>526.71</v>
      </c>
      <c r="M503" s="44">
        <v>533.21</v>
      </c>
      <c r="N503" s="44">
        <v>1447901</v>
      </c>
      <c r="O503" s="44" t="s">
        <v>325</v>
      </c>
      <c r="P503" s="25">
        <f t="shared" si="17"/>
        <v>-1.0502428686633869E-2</v>
      </c>
    </row>
    <row r="504" spans="2:16">
      <c r="B504" s="44">
        <v>541.92098244594649</v>
      </c>
      <c r="C504" s="44">
        <v>545.92424812629474</v>
      </c>
      <c r="D504" s="44">
        <v>541.26536077124933</v>
      </c>
      <c r="E504" s="44">
        <v>545.45736602461648</v>
      </c>
      <c r="F504" s="44">
        <v>3966595.7065879218</v>
      </c>
      <c r="G504" s="44" t="s">
        <v>326</v>
      </c>
      <c r="H504" s="25">
        <f t="shared" si="16"/>
        <v>-6.4833363686033207E-3</v>
      </c>
      <c r="J504" s="44">
        <v>537.79999999999995</v>
      </c>
      <c r="K504" s="44">
        <v>544.38</v>
      </c>
      <c r="L504" s="44">
        <v>537.13</v>
      </c>
      <c r="M504" s="44">
        <v>537.36</v>
      </c>
      <c r="N504" s="44">
        <v>1908430</v>
      </c>
      <c r="O504" s="44" t="s">
        <v>326</v>
      </c>
      <c r="P504" s="25">
        <f t="shared" si="17"/>
        <v>8.1881792466864667E-4</v>
      </c>
    </row>
    <row r="505" spans="2:16">
      <c r="B505" s="44">
        <v>545.38783039245152</v>
      </c>
      <c r="C505" s="44">
        <v>547.22555781395135</v>
      </c>
      <c r="D505" s="44">
        <v>543.34149607445727</v>
      </c>
      <c r="E505" s="44">
        <v>545.51696799504339</v>
      </c>
      <c r="F505" s="44">
        <v>3726289.5573551976</v>
      </c>
      <c r="G505" s="44" t="s">
        <v>327</v>
      </c>
      <c r="H505" s="25">
        <f t="shared" si="16"/>
        <v>-2.3672518027528788E-4</v>
      </c>
      <c r="J505" s="44">
        <v>536.69000000000005</v>
      </c>
      <c r="K505" s="44">
        <v>540.02</v>
      </c>
      <c r="L505" s="44">
        <v>534.04</v>
      </c>
      <c r="M505" s="44">
        <v>535.42999999999995</v>
      </c>
      <c r="N505" s="44">
        <v>1405226</v>
      </c>
      <c r="O505" s="44" t="s">
        <v>327</v>
      </c>
      <c r="P505" s="25">
        <f t="shared" si="17"/>
        <v>2.3532487906918753E-3</v>
      </c>
    </row>
    <row r="506" spans="2:16">
      <c r="B506" s="44">
        <v>545.10968786379215</v>
      </c>
      <c r="C506" s="44">
        <v>547.28515978437838</v>
      </c>
      <c r="D506" s="44">
        <v>542.80507834061393</v>
      </c>
      <c r="E506" s="44">
        <v>546.73880838879734</v>
      </c>
      <c r="F506" s="44">
        <v>4850792.3132173652</v>
      </c>
      <c r="G506" s="44" t="s">
        <v>328</v>
      </c>
      <c r="H506" s="25">
        <f t="shared" si="16"/>
        <v>-2.9797052998782325E-3</v>
      </c>
      <c r="J506" s="44">
        <v>537.07000000000005</v>
      </c>
      <c r="K506" s="44">
        <v>538.90499999999997</v>
      </c>
      <c r="L506" s="44">
        <v>531.69000000000005</v>
      </c>
      <c r="M506" s="44">
        <v>534</v>
      </c>
      <c r="N506" s="44">
        <v>1456091</v>
      </c>
      <c r="O506" s="44" t="s">
        <v>328</v>
      </c>
      <c r="P506" s="25">
        <f t="shared" si="17"/>
        <v>5.7490636704120579E-3</v>
      </c>
    </row>
    <row r="507" spans="2:16">
      <c r="B507" s="44">
        <v>546.74874205053516</v>
      </c>
      <c r="C507" s="44">
        <v>548.06991906166752</v>
      </c>
      <c r="D507" s="44">
        <v>545.20902448117056</v>
      </c>
      <c r="E507" s="44">
        <v>547.77190920953228</v>
      </c>
      <c r="F507" s="44">
        <v>4925805.9405851793</v>
      </c>
      <c r="G507" s="44" t="s">
        <v>329</v>
      </c>
      <c r="H507" s="25">
        <f t="shared" si="16"/>
        <v>-1.8678708086247164E-3</v>
      </c>
      <c r="J507" s="44">
        <v>535.75</v>
      </c>
      <c r="K507" s="44">
        <v>542.58989999999994</v>
      </c>
      <c r="L507" s="44">
        <v>534.57000000000005</v>
      </c>
      <c r="M507" s="44">
        <v>539.89</v>
      </c>
      <c r="N507" s="44">
        <v>2097917</v>
      </c>
      <c r="O507" s="44" t="s">
        <v>329</v>
      </c>
      <c r="P507" s="25">
        <f t="shared" si="17"/>
        <v>-7.668228713256342E-3</v>
      </c>
    </row>
    <row r="508" spans="2:16">
      <c r="B508" s="44">
        <v>546.30172727233264</v>
      </c>
      <c r="C508" s="44">
        <v>547.5831696365135</v>
      </c>
      <c r="D508" s="44">
        <v>544.4242652038813</v>
      </c>
      <c r="E508" s="44">
        <v>544.43419886561924</v>
      </c>
      <c r="F508" s="44">
        <v>6843373.7522054855</v>
      </c>
      <c r="G508" s="44" t="s">
        <v>330</v>
      </c>
      <c r="H508" s="25">
        <f t="shared" si="16"/>
        <v>3.4302187676757967E-3</v>
      </c>
      <c r="J508" s="44">
        <v>536.45000000000005</v>
      </c>
      <c r="K508" s="44">
        <v>538.49</v>
      </c>
      <c r="L508" s="44">
        <v>524</v>
      </c>
      <c r="M508" s="44">
        <v>525.5</v>
      </c>
      <c r="N508" s="44">
        <v>1427803</v>
      </c>
      <c r="O508" s="44" t="s">
        <v>330</v>
      </c>
      <c r="P508" s="25">
        <f t="shared" si="17"/>
        <v>2.0837297811608035E-2</v>
      </c>
    </row>
    <row r="509" spans="2:16">
      <c r="B509" s="44">
        <v>543.89778113177601</v>
      </c>
      <c r="C509" s="44">
        <v>544.83651216600163</v>
      </c>
      <c r="D509" s="44">
        <v>541.53356963817089</v>
      </c>
      <c r="E509" s="44">
        <v>541.60310527033573</v>
      </c>
      <c r="F509" s="44">
        <v>6091687.1942106001</v>
      </c>
      <c r="G509" s="44" t="s">
        <v>331</v>
      </c>
      <c r="H509" s="25">
        <f t="shared" si="16"/>
        <v>4.23682183338836E-3</v>
      </c>
      <c r="J509" s="44">
        <v>524.28</v>
      </c>
      <c r="K509" s="44">
        <v>524.82500000000005</v>
      </c>
      <c r="L509" s="44">
        <v>515.58000000000004</v>
      </c>
      <c r="M509" s="44">
        <v>516</v>
      </c>
      <c r="N509" s="44">
        <v>1209283</v>
      </c>
      <c r="O509" s="44" t="s">
        <v>331</v>
      </c>
      <c r="P509" s="25">
        <f t="shared" si="17"/>
        <v>1.6046511627906934E-2</v>
      </c>
    </row>
    <row r="510" spans="2:16">
      <c r="B510" s="44">
        <v>539.69584221667105</v>
      </c>
      <c r="C510" s="44">
        <v>540.5302698026494</v>
      </c>
      <c r="D510" s="44">
        <v>534.59987374516083</v>
      </c>
      <c r="E510" s="44">
        <v>538.05678802992804</v>
      </c>
      <c r="F510" s="44">
        <v>7533311.6805219874</v>
      </c>
      <c r="G510" s="44" t="s">
        <v>332</v>
      </c>
      <c r="H510" s="25">
        <f t="shared" si="16"/>
        <v>3.0462475768484598E-3</v>
      </c>
      <c r="J510" s="44">
        <v>515.54999999999995</v>
      </c>
      <c r="K510" s="44">
        <v>525</v>
      </c>
      <c r="L510" s="44">
        <v>506.8</v>
      </c>
      <c r="M510" s="44">
        <v>523.13</v>
      </c>
      <c r="N510" s="44">
        <v>1776420</v>
      </c>
      <c r="O510" s="44" t="s">
        <v>332</v>
      </c>
      <c r="P510" s="25">
        <f t="shared" si="17"/>
        <v>-1.4489706191577745E-2</v>
      </c>
    </row>
    <row r="511" spans="2:16">
      <c r="B511" s="44">
        <v>526.58340872272663</v>
      </c>
      <c r="C511" s="44">
        <v>526.65294435489136</v>
      </c>
      <c r="D511" s="44">
        <v>521.00069082606228</v>
      </c>
      <c r="E511" s="44">
        <v>521.23909870777038</v>
      </c>
      <c r="F511" s="44">
        <v>3322318.6847901442</v>
      </c>
      <c r="G511" s="44" t="s">
        <v>333</v>
      </c>
      <c r="H511" s="25">
        <f t="shared" si="16"/>
        <v>1.0253087360878377E-2</v>
      </c>
      <c r="J511" s="44">
        <v>515.16999999999996</v>
      </c>
      <c r="K511" s="44">
        <v>518.25</v>
      </c>
      <c r="L511" s="44">
        <v>506.33</v>
      </c>
      <c r="M511" s="44">
        <v>506.33</v>
      </c>
      <c r="N511" s="44">
        <v>1113407</v>
      </c>
      <c r="O511" s="44" t="s">
        <v>333</v>
      </c>
      <c r="P511" s="25">
        <f t="shared" si="17"/>
        <v>1.7458969446803474E-2</v>
      </c>
    </row>
    <row r="512" spans="2:16">
      <c r="B512" s="44">
        <v>520.32520182788937</v>
      </c>
      <c r="C512" s="44">
        <v>522.78874993887291</v>
      </c>
      <c r="D512" s="44">
        <v>518.56704303690969</v>
      </c>
      <c r="E512" s="44">
        <v>521.57684320685678</v>
      </c>
      <c r="F512" s="44">
        <v>3706046.2668841663</v>
      </c>
      <c r="G512" s="44" t="s">
        <v>334</v>
      </c>
      <c r="H512" s="25">
        <f t="shared" si="16"/>
        <v>-2.3997257456290777E-3</v>
      </c>
      <c r="J512" s="44">
        <v>507.42</v>
      </c>
      <c r="K512" s="44">
        <v>511.20499999999998</v>
      </c>
      <c r="L512" s="44">
        <v>503.85</v>
      </c>
      <c r="M512" s="44">
        <v>504.32</v>
      </c>
      <c r="N512" s="44">
        <v>849671</v>
      </c>
      <c r="O512" s="44" t="s">
        <v>334</v>
      </c>
      <c r="P512" s="25">
        <f t="shared" si="17"/>
        <v>6.1468908629442875E-3</v>
      </c>
    </row>
    <row r="513" spans="2:16">
      <c r="B513" s="44">
        <v>521.45763926600284</v>
      </c>
      <c r="C513" s="44">
        <v>525.57017522546732</v>
      </c>
      <c r="D513" s="44">
        <v>521.0603921331068</v>
      </c>
      <c r="E513" s="44">
        <v>521.67617982423519</v>
      </c>
      <c r="F513" s="44">
        <v>6147724.938870227</v>
      </c>
      <c r="G513" s="44" t="s">
        <v>335</v>
      </c>
      <c r="H513" s="25">
        <f t="shared" si="16"/>
        <v>-4.1891994820619782E-4</v>
      </c>
      <c r="J513" s="44">
        <v>506.34</v>
      </c>
      <c r="K513" s="44">
        <v>510.80939999999998</v>
      </c>
      <c r="L513" s="44">
        <v>502.01</v>
      </c>
      <c r="M513" s="44">
        <v>502.02</v>
      </c>
      <c r="N513" s="44">
        <v>1041997</v>
      </c>
      <c r="O513" s="44" t="s">
        <v>335</v>
      </c>
      <c r="P513" s="25">
        <f t="shared" si="17"/>
        <v>8.6052348512011267E-3</v>
      </c>
    </row>
    <row r="514" spans="2:16">
      <c r="B514" s="44">
        <v>519.20269805151383</v>
      </c>
      <c r="C514" s="44">
        <v>525.71918015153483</v>
      </c>
      <c r="D514" s="44">
        <v>519.04375946370851</v>
      </c>
      <c r="E514" s="44">
        <v>525.58010888720514</v>
      </c>
      <c r="F514" s="44">
        <v>8026017.2033361597</v>
      </c>
      <c r="G514" s="44" t="s">
        <v>336</v>
      </c>
      <c r="H514" s="25">
        <f t="shared" ref="H514:H577" si="18">B514/E514-1</f>
        <v>-1.213404146742536E-2</v>
      </c>
      <c r="J514" s="44">
        <v>503.84</v>
      </c>
      <c r="K514" s="44">
        <v>511.06</v>
      </c>
      <c r="L514" s="44">
        <v>500.67</v>
      </c>
      <c r="M514" s="44">
        <v>510.01</v>
      </c>
      <c r="N514" s="44">
        <v>1468858</v>
      </c>
      <c r="O514" s="44" t="s">
        <v>336</v>
      </c>
      <c r="P514" s="25">
        <f t="shared" si="17"/>
        <v>-1.209780200388233E-2</v>
      </c>
    </row>
    <row r="515" spans="2:16">
      <c r="B515" s="44">
        <v>529.62310921450455</v>
      </c>
      <c r="C515" s="44">
        <v>532.64294238280706</v>
      </c>
      <c r="D515" s="44">
        <v>529.05689049544799</v>
      </c>
      <c r="E515" s="44">
        <v>530.80521496130723</v>
      </c>
      <c r="F515" s="44">
        <v>3087496.9179974315</v>
      </c>
      <c r="G515" s="44" t="s">
        <v>337</v>
      </c>
      <c r="H515" s="25">
        <f t="shared" si="18"/>
        <v>-2.2270047721533182E-3</v>
      </c>
      <c r="J515" s="44">
        <v>513.77</v>
      </c>
      <c r="K515" s="44">
        <v>516.98990000000003</v>
      </c>
      <c r="L515" s="44">
        <v>508.01</v>
      </c>
      <c r="M515" s="44">
        <v>516.55999999999995</v>
      </c>
      <c r="N515" s="44">
        <v>1113145</v>
      </c>
      <c r="O515" s="44" t="s">
        <v>337</v>
      </c>
      <c r="P515" s="25">
        <f t="shared" si="17"/>
        <v>-5.4011150689173837E-3</v>
      </c>
    </row>
    <row r="516" spans="2:16">
      <c r="B516" s="44">
        <v>531.22242875429629</v>
      </c>
      <c r="C516" s="44">
        <v>532.26546323676928</v>
      </c>
      <c r="D516" s="44">
        <v>528.22246290946964</v>
      </c>
      <c r="E516" s="44">
        <v>529.58337456755328</v>
      </c>
      <c r="F516" s="44">
        <v>3047829.7730513616</v>
      </c>
      <c r="G516" s="44" t="s">
        <v>338</v>
      </c>
      <c r="H516" s="25">
        <f t="shared" si="18"/>
        <v>3.0949879951980286E-3</v>
      </c>
      <c r="J516" s="44">
        <v>516.30999999999995</v>
      </c>
      <c r="K516" s="44">
        <v>517.5</v>
      </c>
      <c r="L516" s="44">
        <v>504.35</v>
      </c>
      <c r="M516" s="44">
        <v>506.52</v>
      </c>
      <c r="N516" s="44">
        <v>1065041</v>
      </c>
      <c r="O516" s="44" t="s">
        <v>338</v>
      </c>
      <c r="P516" s="25">
        <f t="shared" si="17"/>
        <v>1.932796335781406E-2</v>
      </c>
    </row>
    <row r="517" spans="2:16">
      <c r="B517" s="44">
        <v>530.37806750658012</v>
      </c>
      <c r="C517" s="44">
        <v>532.01712169332336</v>
      </c>
      <c r="D517" s="44">
        <v>530.13052065607326</v>
      </c>
      <c r="E517" s="44">
        <v>531.97738704637186</v>
      </c>
      <c r="F517" s="44">
        <v>3430729.8657243685</v>
      </c>
      <c r="G517" s="44" t="s">
        <v>339</v>
      </c>
      <c r="H517" s="25">
        <f t="shared" si="18"/>
        <v>-3.0063675237614884E-3</v>
      </c>
      <c r="J517" s="44">
        <v>510.88</v>
      </c>
      <c r="K517" s="44">
        <v>514.32500000000005</v>
      </c>
      <c r="L517" s="44">
        <v>508.28</v>
      </c>
      <c r="M517" s="44">
        <v>513.66</v>
      </c>
      <c r="N517" s="44">
        <v>842909</v>
      </c>
      <c r="O517" s="44" t="s">
        <v>339</v>
      </c>
      <c r="P517" s="25">
        <f t="shared" si="17"/>
        <v>-5.4121403262857859E-3</v>
      </c>
    </row>
    <row r="518" spans="2:16">
      <c r="B518" s="44">
        <v>528.72907965809929</v>
      </c>
      <c r="C518" s="44">
        <v>533.69600986363503</v>
      </c>
      <c r="D518" s="44">
        <v>527.88869187507828</v>
      </c>
      <c r="E518" s="44">
        <v>531.10322481344224</v>
      </c>
      <c r="F518" s="44">
        <v>4356087.5276414705</v>
      </c>
      <c r="G518" s="44" t="s">
        <v>340</v>
      </c>
      <c r="H518" s="25">
        <f t="shared" si="18"/>
        <v>-4.4702141587954491E-3</v>
      </c>
      <c r="J518" s="44">
        <v>511.27</v>
      </c>
      <c r="K518" s="44">
        <v>516.89279999999997</v>
      </c>
      <c r="L518" s="44">
        <v>510.46</v>
      </c>
      <c r="M518" s="44">
        <v>514</v>
      </c>
      <c r="N518" s="44">
        <v>982549</v>
      </c>
      <c r="O518" s="44" t="s">
        <v>340</v>
      </c>
      <c r="P518" s="25">
        <f t="shared" si="17"/>
        <v>-5.311284046692677E-3</v>
      </c>
    </row>
    <row r="519" spans="2:16">
      <c r="B519" s="44">
        <v>528.93768655459394</v>
      </c>
      <c r="C519" s="44">
        <v>529.6429765379803</v>
      </c>
      <c r="D519" s="44">
        <v>526.52380675229949</v>
      </c>
      <c r="E519" s="44">
        <v>529.63304287624237</v>
      </c>
      <c r="F519" s="44">
        <v>4507665.0666938424</v>
      </c>
      <c r="G519" s="44" t="s">
        <v>341</v>
      </c>
      <c r="H519" s="25">
        <f t="shared" si="18"/>
        <v>-1.3129020762605581E-3</v>
      </c>
      <c r="J519" s="44">
        <v>511.63</v>
      </c>
      <c r="K519" s="44">
        <v>515.30999999999995</v>
      </c>
      <c r="L519" s="44">
        <v>509.78</v>
      </c>
      <c r="M519" s="44">
        <v>510.79</v>
      </c>
      <c r="N519" s="44">
        <v>755449</v>
      </c>
      <c r="O519" s="44" t="s">
        <v>341</v>
      </c>
      <c r="P519" s="25">
        <f t="shared" si="17"/>
        <v>1.6445114430587715E-3</v>
      </c>
    </row>
    <row r="520" spans="2:16">
      <c r="B520" s="44">
        <v>527.74564714605344</v>
      </c>
      <c r="C520" s="44">
        <v>531.1727604456072</v>
      </c>
      <c r="D520" s="44">
        <v>524.51720708125652</v>
      </c>
      <c r="E520" s="44">
        <v>530.73567932914227</v>
      </c>
      <c r="F520" s="44">
        <v>5262665.6090852972</v>
      </c>
      <c r="G520" s="44" t="s">
        <v>342</v>
      </c>
      <c r="H520" s="25">
        <f t="shared" si="18"/>
        <v>-5.6337500935838003E-3</v>
      </c>
      <c r="J520" s="44">
        <v>512.58000000000004</v>
      </c>
      <c r="K520" s="44">
        <v>516</v>
      </c>
      <c r="L520" s="44">
        <v>507.28</v>
      </c>
      <c r="M520" s="44">
        <v>513.89</v>
      </c>
      <c r="N520" s="44">
        <v>1119984</v>
      </c>
      <c r="O520" s="44" t="s">
        <v>342</v>
      </c>
      <c r="P520" s="25">
        <f t="shared" si="17"/>
        <v>-2.549183677440614E-3</v>
      </c>
    </row>
    <row r="521" spans="2:16">
      <c r="B521" s="44">
        <v>532.60320773585568</v>
      </c>
      <c r="C521" s="44">
        <v>533.7157778504934</v>
      </c>
      <c r="D521" s="44">
        <v>529.93105272837761</v>
      </c>
      <c r="E521" s="44">
        <v>530.56680707959913</v>
      </c>
      <c r="F521" s="44">
        <v>3389077.5515103652</v>
      </c>
      <c r="G521" s="44" t="s">
        <v>343</v>
      </c>
      <c r="H521" s="25">
        <f t="shared" si="18"/>
        <v>3.8381606785118372E-3</v>
      </c>
      <c r="J521" s="44">
        <v>517.5</v>
      </c>
      <c r="K521" s="44">
        <v>519.17999999999995</v>
      </c>
      <c r="L521" s="44">
        <v>511.81</v>
      </c>
      <c r="M521" s="44">
        <v>515</v>
      </c>
      <c r="N521" s="44">
        <v>1341519</v>
      </c>
      <c r="O521" s="44" t="s">
        <v>343</v>
      </c>
      <c r="P521" s="25">
        <f t="shared" si="17"/>
        <v>4.8543689320388328E-3</v>
      </c>
    </row>
    <row r="522" spans="2:16">
      <c r="B522" s="44">
        <v>532.97075322015553</v>
      </c>
      <c r="C522" s="44">
        <v>534.04358868784198</v>
      </c>
      <c r="D522" s="44">
        <v>530.16946061008571</v>
      </c>
      <c r="E522" s="44">
        <v>533.15949279317454</v>
      </c>
      <c r="F522" s="44">
        <v>3695949.2852627807</v>
      </c>
      <c r="G522" s="44" t="s">
        <v>344</v>
      </c>
      <c r="H522" s="25">
        <f t="shared" si="18"/>
        <v>-3.5400208674929434E-4</v>
      </c>
      <c r="J522" s="44">
        <v>518.86</v>
      </c>
      <c r="K522" s="44">
        <v>522.66499999999996</v>
      </c>
      <c r="L522" s="44">
        <v>514.54999999999995</v>
      </c>
      <c r="M522" s="44">
        <v>519.04</v>
      </c>
      <c r="N522" s="44">
        <v>1309589</v>
      </c>
      <c r="O522" s="44" t="s">
        <v>344</v>
      </c>
      <c r="P522" s="25">
        <f t="shared" si="17"/>
        <v>-3.4679408138094114E-4</v>
      </c>
    </row>
    <row r="523" spans="2:16">
      <c r="B523" s="44">
        <v>533.79524714439606</v>
      </c>
      <c r="C523" s="44">
        <v>534.53033811299599</v>
      </c>
      <c r="D523" s="44">
        <v>532.00718803158543</v>
      </c>
      <c r="E523" s="44">
        <v>533.3382987044555</v>
      </c>
      <c r="F523" s="44">
        <v>5104272.8591080224</v>
      </c>
      <c r="G523" s="44" t="s">
        <v>345</v>
      </c>
      <c r="H523" s="25">
        <f t="shared" si="18"/>
        <v>8.5677034829600984E-4</v>
      </c>
      <c r="J523" s="44">
        <v>521.15</v>
      </c>
      <c r="K523" s="44">
        <v>523.34</v>
      </c>
      <c r="L523" s="44">
        <v>495</v>
      </c>
      <c r="M523" s="44">
        <v>496</v>
      </c>
      <c r="N523" s="44">
        <v>4059157</v>
      </c>
      <c r="O523" s="44" t="s">
        <v>345</v>
      </c>
      <c r="P523" s="25">
        <f t="shared" si="17"/>
        <v>5.0705645161290169E-2</v>
      </c>
    </row>
    <row r="524" spans="2:16">
      <c r="B524" s="44">
        <v>531.74891282640169</v>
      </c>
      <c r="C524" s="44">
        <v>535.18595978769315</v>
      </c>
      <c r="D524" s="44">
        <v>531.59990790033407</v>
      </c>
      <c r="E524" s="44">
        <v>535.04688852336346</v>
      </c>
      <c r="F524" s="44">
        <v>3246835.945414796</v>
      </c>
      <c r="G524" s="44" t="s">
        <v>346</v>
      </c>
      <c r="H524" s="25">
        <f t="shared" si="18"/>
        <v>-6.1639003379004853E-3</v>
      </c>
      <c r="J524" s="44">
        <v>473.73</v>
      </c>
      <c r="K524" s="44">
        <v>481.06</v>
      </c>
      <c r="L524" s="44">
        <v>472.12</v>
      </c>
      <c r="M524" s="44">
        <v>481.06</v>
      </c>
      <c r="N524" s="44">
        <v>1959034</v>
      </c>
      <c r="O524" s="44" t="s">
        <v>346</v>
      </c>
      <c r="P524" s="25">
        <f t="shared" si="17"/>
        <v>-1.52371845507836E-2</v>
      </c>
    </row>
    <row r="525" spans="2:16">
      <c r="B525" s="44">
        <v>531.66944353249903</v>
      </c>
      <c r="C525" s="44">
        <v>532.17606028112868</v>
      </c>
      <c r="D525" s="44">
        <v>528.68437818027905</v>
      </c>
      <c r="E525" s="44">
        <v>529.39463499453439</v>
      </c>
      <c r="F525" s="44">
        <v>3258834.5420195116</v>
      </c>
      <c r="G525" s="44" t="s">
        <v>347</v>
      </c>
      <c r="H525" s="25">
        <f t="shared" si="18"/>
        <v>4.2969996059520899E-3</v>
      </c>
      <c r="J525" s="44">
        <v>476.59</v>
      </c>
      <c r="K525" s="44">
        <v>479.51990000000001</v>
      </c>
      <c r="L525" s="44">
        <v>473.505</v>
      </c>
      <c r="M525" s="44">
        <v>478.11</v>
      </c>
      <c r="N525" s="44">
        <v>1037657</v>
      </c>
      <c r="O525" s="44" t="s">
        <v>347</v>
      </c>
      <c r="P525" s="25">
        <f t="shared" si="17"/>
        <v>-3.1791847064484013E-3</v>
      </c>
    </row>
    <row r="526" spans="2:16">
      <c r="B526" s="44">
        <v>529.44430330322359</v>
      </c>
      <c r="C526" s="44">
        <v>534.04358868784198</v>
      </c>
      <c r="D526" s="44">
        <v>528.2919985416346</v>
      </c>
      <c r="E526" s="44">
        <v>533.81511446787169</v>
      </c>
      <c r="F526" s="44">
        <v>4843460.6764129233</v>
      </c>
      <c r="G526" s="44" t="s">
        <v>348</v>
      </c>
      <c r="H526" s="25">
        <f t="shared" si="18"/>
        <v>-8.1878745022143651E-3</v>
      </c>
      <c r="J526" s="44">
        <v>478.47</v>
      </c>
      <c r="K526" s="44">
        <v>489.625</v>
      </c>
      <c r="L526" s="44">
        <v>476.67500000000001</v>
      </c>
      <c r="M526" s="44">
        <v>488</v>
      </c>
      <c r="N526" s="44">
        <v>1313339</v>
      </c>
      <c r="O526" s="44" t="s">
        <v>348</v>
      </c>
      <c r="P526" s="25">
        <f t="shared" si="17"/>
        <v>-1.952868852459011E-2</v>
      </c>
    </row>
    <row r="527" spans="2:16">
      <c r="B527" s="44">
        <v>533.50717095399887</v>
      </c>
      <c r="C527" s="44">
        <v>534.41113417214194</v>
      </c>
      <c r="D527" s="44">
        <v>530.42773581526944</v>
      </c>
      <c r="E527" s="44">
        <v>530.70587834392882</v>
      </c>
      <c r="F527" s="44">
        <v>2656552.1049991744</v>
      </c>
      <c r="G527" s="44" t="s">
        <v>349</v>
      </c>
      <c r="H527" s="25">
        <f t="shared" si="18"/>
        <v>5.2784277023867343E-3</v>
      </c>
      <c r="J527" s="44">
        <v>487.61</v>
      </c>
      <c r="K527" s="44">
        <v>488.63</v>
      </c>
      <c r="L527" s="44">
        <v>483.96850000000001</v>
      </c>
      <c r="M527" s="44">
        <v>487.04</v>
      </c>
      <c r="N527" s="44">
        <v>883621</v>
      </c>
      <c r="O527" s="44" t="s">
        <v>349</v>
      </c>
      <c r="P527" s="25">
        <f t="shared" si="17"/>
        <v>1.170335085413976E-3</v>
      </c>
    </row>
    <row r="528" spans="2:16">
      <c r="B528" s="44">
        <v>529.17609443630204</v>
      </c>
      <c r="C528" s="44">
        <v>529.89131808142622</v>
      </c>
      <c r="D528" s="44">
        <v>525.87811873934015</v>
      </c>
      <c r="E528" s="44">
        <v>525.98738901845638</v>
      </c>
      <c r="F528" s="44">
        <v>5465424.6775090043</v>
      </c>
      <c r="G528" s="44" t="s">
        <v>350</v>
      </c>
      <c r="H528" s="25">
        <f t="shared" si="18"/>
        <v>6.0623229461758132E-3</v>
      </c>
      <c r="J528" s="44">
        <v>484.78</v>
      </c>
      <c r="K528" s="44">
        <v>487.58</v>
      </c>
      <c r="L528" s="44">
        <v>483.12</v>
      </c>
      <c r="M528" s="44">
        <v>486</v>
      </c>
      <c r="N528" s="44">
        <v>1170154</v>
      </c>
      <c r="O528" s="44" t="s">
        <v>350</v>
      </c>
      <c r="P528" s="25">
        <f t="shared" si="17"/>
        <v>-2.5102880658436355E-3</v>
      </c>
    </row>
    <row r="529" spans="2:16">
      <c r="B529" s="44">
        <v>526.04699098888329</v>
      </c>
      <c r="C529" s="44">
        <v>527.37810166175348</v>
      </c>
      <c r="D529" s="44">
        <v>524.58674271342147</v>
      </c>
      <c r="E529" s="44">
        <v>525.7589147984861</v>
      </c>
      <c r="F529" s="44">
        <v>3661925.577900907</v>
      </c>
      <c r="G529" s="44" t="s">
        <v>351</v>
      </c>
      <c r="H529" s="25">
        <f t="shared" si="18"/>
        <v>5.4792449978258162E-4</v>
      </c>
      <c r="J529" s="44">
        <v>483.84</v>
      </c>
      <c r="K529" s="44">
        <v>488.2627</v>
      </c>
      <c r="L529" s="44">
        <v>483.2</v>
      </c>
      <c r="M529" s="44">
        <v>486.23</v>
      </c>
      <c r="N529" s="44">
        <v>942178</v>
      </c>
      <c r="O529" s="44" t="s">
        <v>351</v>
      </c>
      <c r="P529" s="25">
        <f t="shared" si="17"/>
        <v>-4.9153692696872753E-3</v>
      </c>
    </row>
    <row r="530" spans="2:16">
      <c r="B530" s="44">
        <v>526.93108688355096</v>
      </c>
      <c r="C530" s="44">
        <v>527.50723926434534</v>
      </c>
      <c r="D530" s="44">
        <v>522.81855092408637</v>
      </c>
      <c r="E530" s="44">
        <v>523.37483598140534</v>
      </c>
      <c r="F530" s="44">
        <v>2961430.6160586346</v>
      </c>
      <c r="G530" s="44" t="s">
        <v>352</v>
      </c>
      <c r="H530" s="25">
        <f t="shared" si="18"/>
        <v>6.7948450281853923E-3</v>
      </c>
      <c r="J530" s="44">
        <v>490.38</v>
      </c>
      <c r="K530" s="44">
        <v>490.58</v>
      </c>
      <c r="L530" s="44">
        <v>478.49</v>
      </c>
      <c r="M530" s="44">
        <v>480.59500000000003</v>
      </c>
      <c r="N530" s="44">
        <v>1061187</v>
      </c>
      <c r="O530" s="44" t="s">
        <v>352</v>
      </c>
      <c r="P530" s="25">
        <f t="shared" si="17"/>
        <v>2.0360178528698647E-2</v>
      </c>
    </row>
    <row r="531" spans="2:16">
      <c r="B531" s="44">
        <v>523.3549686579297</v>
      </c>
      <c r="C531" s="44">
        <v>523.88145273003499</v>
      </c>
      <c r="D531" s="44">
        <v>520.02719197575436</v>
      </c>
      <c r="E531" s="44">
        <v>520.84175223825696</v>
      </c>
      <c r="F531" s="44">
        <v>2644208.2177966391</v>
      </c>
      <c r="G531" s="44" t="s">
        <v>353</v>
      </c>
      <c r="H531" s="25">
        <f t="shared" si="18"/>
        <v>4.8252975282270238E-3</v>
      </c>
      <c r="J531" s="44">
        <v>480.78500000000003</v>
      </c>
      <c r="K531" s="44">
        <v>482.88</v>
      </c>
      <c r="L531" s="44">
        <v>473.79</v>
      </c>
      <c r="M531" s="44">
        <v>473.79</v>
      </c>
      <c r="N531" s="44">
        <v>1040425</v>
      </c>
      <c r="O531" s="44" t="s">
        <v>353</v>
      </c>
      <c r="P531" s="25">
        <f t="shared" si="17"/>
        <v>1.4763924945651041E-2</v>
      </c>
    </row>
    <row r="532" spans="2:16">
      <c r="B532" s="44">
        <v>518.44773975943826</v>
      </c>
      <c r="C532" s="44">
        <v>522.23256421817143</v>
      </c>
      <c r="D532" s="44">
        <v>517.35503696827618</v>
      </c>
      <c r="E532" s="44">
        <v>521.65631250075955</v>
      </c>
      <c r="F532" s="44">
        <v>3997020.5396430702</v>
      </c>
      <c r="G532" s="44" t="s">
        <v>354</v>
      </c>
      <c r="H532" s="25">
        <f t="shared" si="18"/>
        <v>-6.15074075484634E-3</v>
      </c>
      <c r="J532" s="44">
        <v>471.23</v>
      </c>
      <c r="K532" s="44">
        <v>479.30500000000001</v>
      </c>
      <c r="L532" s="44">
        <v>470.06</v>
      </c>
      <c r="M532" s="44">
        <v>476.86</v>
      </c>
      <c r="N532" s="44">
        <v>1175190</v>
      </c>
      <c r="O532" s="44" t="s">
        <v>354</v>
      </c>
      <c r="P532" s="25">
        <f t="shared" si="17"/>
        <v>-1.1806400201316958E-2</v>
      </c>
    </row>
    <row r="533" spans="2:16">
      <c r="B533" s="44">
        <v>523.15629542317288</v>
      </c>
      <c r="C533" s="44">
        <v>523.52384090747285</v>
      </c>
      <c r="D533" s="44">
        <v>518.83515256721387</v>
      </c>
      <c r="E533" s="44">
        <v>522.66954599801886</v>
      </c>
      <c r="F533" s="44">
        <v>5393957.5771852722</v>
      </c>
      <c r="G533" s="44" t="s">
        <v>355</v>
      </c>
      <c r="H533" s="25">
        <f t="shared" si="18"/>
        <v>9.312756575947656E-4</v>
      </c>
      <c r="J533" s="44">
        <v>481.95</v>
      </c>
      <c r="K533" s="44">
        <v>484.45</v>
      </c>
      <c r="L533" s="44">
        <v>476.59679999999997</v>
      </c>
      <c r="M533" s="44">
        <v>484.45</v>
      </c>
      <c r="N533" s="44">
        <v>903893</v>
      </c>
      <c r="O533" s="44" t="s">
        <v>355</v>
      </c>
      <c r="P533" s="25">
        <f t="shared" si="17"/>
        <v>-5.1604912787697188E-3</v>
      </c>
    </row>
    <row r="534" spans="2:16">
      <c r="B534" s="44">
        <v>518.37820412727342</v>
      </c>
      <c r="C534" s="44">
        <v>520.28050035006913</v>
      </c>
      <c r="D534" s="44">
        <v>516.37160445623044</v>
      </c>
      <c r="E534" s="44">
        <v>518.10006159861393</v>
      </c>
      <c r="F534" s="44">
        <v>4034717.615493123</v>
      </c>
      <c r="G534" s="44" t="s">
        <v>356</v>
      </c>
      <c r="H534" s="25">
        <f t="shared" si="18"/>
        <v>5.3685098550504406E-4</v>
      </c>
      <c r="J534" s="44">
        <v>479.63</v>
      </c>
      <c r="K534" s="44">
        <v>486</v>
      </c>
      <c r="L534" s="44">
        <v>478.55860000000001</v>
      </c>
      <c r="M534" s="44">
        <v>484.42</v>
      </c>
      <c r="N534" s="44">
        <v>764687</v>
      </c>
      <c r="O534" s="44" t="s">
        <v>356</v>
      </c>
      <c r="P534" s="25">
        <f t="shared" si="17"/>
        <v>-9.8881136204120867E-3</v>
      </c>
    </row>
    <row r="535" spans="2:16">
      <c r="B535" s="44">
        <v>519.36163663931927</v>
      </c>
      <c r="C535" s="44">
        <v>520.37487013657858</v>
      </c>
      <c r="D535" s="44">
        <v>516.13329591113973</v>
      </c>
      <c r="E535" s="44">
        <v>518.38813778901124</v>
      </c>
      <c r="F535" s="44">
        <v>3292424.3711083229</v>
      </c>
      <c r="G535" s="44" t="s">
        <v>357</v>
      </c>
      <c r="H535" s="25">
        <f t="shared" si="18"/>
        <v>1.877934272300541E-3</v>
      </c>
      <c r="J535" s="44">
        <v>486.62</v>
      </c>
      <c r="K535" s="44">
        <v>489.71</v>
      </c>
      <c r="L535" s="44">
        <v>478.62</v>
      </c>
      <c r="M535" s="44">
        <v>482.72</v>
      </c>
      <c r="N535" s="44">
        <v>740933</v>
      </c>
      <c r="O535" s="44" t="s">
        <v>357</v>
      </c>
      <c r="P535" s="25">
        <f t="shared" si="17"/>
        <v>8.0792177659927411E-3</v>
      </c>
    </row>
    <row r="536" spans="2:16">
      <c r="B536" s="44">
        <v>519.27223368367868</v>
      </c>
      <c r="C536" s="44">
        <v>523.60331020137562</v>
      </c>
      <c r="D536" s="44">
        <v>516.77888458748168</v>
      </c>
      <c r="E536" s="44">
        <v>523.54370823094848</v>
      </c>
      <c r="F536" s="44">
        <v>9260086.8066232149</v>
      </c>
      <c r="G536" s="44" t="s">
        <v>358</v>
      </c>
      <c r="H536" s="25">
        <f t="shared" si="18"/>
        <v>-8.158773527625951E-3</v>
      </c>
      <c r="J536" s="44">
        <v>484.76</v>
      </c>
      <c r="K536" s="44">
        <v>496.48</v>
      </c>
      <c r="L536" s="44">
        <v>481.71</v>
      </c>
      <c r="M536" s="44">
        <v>492.5</v>
      </c>
      <c r="N536" s="44">
        <v>1181142</v>
      </c>
      <c r="O536" s="44" t="s">
        <v>358</v>
      </c>
      <c r="P536" s="25">
        <f t="shared" si="17"/>
        <v>-1.5715736040609163E-2</v>
      </c>
    </row>
    <row r="537" spans="2:16">
      <c r="B537" s="44">
        <v>524.16952892043219</v>
      </c>
      <c r="C537" s="44">
        <v>524.45263827996064</v>
      </c>
      <c r="D537" s="44">
        <v>518.72588228809775</v>
      </c>
      <c r="E537" s="44">
        <v>520.84175223825696</v>
      </c>
      <c r="F537" s="44">
        <v>8070889.8808808522</v>
      </c>
      <c r="G537" s="44" t="s">
        <v>359</v>
      </c>
      <c r="H537" s="25">
        <f t="shared" si="18"/>
        <v>6.3892279523953821E-3</v>
      </c>
      <c r="J537" s="44">
        <v>491.27</v>
      </c>
      <c r="K537" s="44">
        <v>492.25</v>
      </c>
      <c r="L537" s="44">
        <v>478.69</v>
      </c>
      <c r="M537" s="44">
        <v>480</v>
      </c>
      <c r="N537" s="44">
        <v>1654679</v>
      </c>
      <c r="O537" s="44" t="s">
        <v>359</v>
      </c>
      <c r="P537" s="25">
        <f t="shared" si="17"/>
        <v>2.3479166666666718E-2</v>
      </c>
    </row>
    <row r="538" spans="2:16">
      <c r="B538" s="44">
        <v>521.89472038246765</v>
      </c>
      <c r="C538" s="44">
        <v>524.2688655378106</v>
      </c>
      <c r="D538" s="44">
        <v>520.84175223825696</v>
      </c>
      <c r="E538" s="44">
        <v>523.59337653963769</v>
      </c>
      <c r="F538" s="44">
        <v>5635982.1259820741</v>
      </c>
      <c r="G538" s="44" t="s">
        <v>360</v>
      </c>
      <c r="H538" s="25">
        <f t="shared" si="18"/>
        <v>-3.2442277409928666E-3</v>
      </c>
      <c r="J538" s="44">
        <v>479.18</v>
      </c>
      <c r="K538" s="44">
        <v>490.03</v>
      </c>
      <c r="L538" s="44">
        <v>478.57</v>
      </c>
      <c r="M538" s="44">
        <v>490.03</v>
      </c>
      <c r="N538" s="44">
        <v>1013377</v>
      </c>
      <c r="O538" s="44" t="s">
        <v>360</v>
      </c>
      <c r="P538" s="25">
        <f t="shared" si="17"/>
        <v>-2.214150154072192E-2</v>
      </c>
    </row>
    <row r="539" spans="2:16">
      <c r="B539" s="44">
        <v>522.57160009328379</v>
      </c>
      <c r="C539" s="44">
        <v>524.77002524432999</v>
      </c>
      <c r="D539" s="44">
        <v>520.3830777582333</v>
      </c>
      <c r="E539" s="44">
        <v>524.52245484443733</v>
      </c>
      <c r="F539" s="44">
        <v>5325672.0131809711</v>
      </c>
      <c r="G539" s="44" t="s">
        <v>361</v>
      </c>
      <c r="H539" s="25">
        <f t="shared" si="18"/>
        <v>-3.7192969207240356E-3</v>
      </c>
      <c r="J539" s="44">
        <v>486.33</v>
      </c>
      <c r="K539" s="44">
        <v>490.95</v>
      </c>
      <c r="L539" s="44">
        <v>484.76</v>
      </c>
      <c r="M539" s="44">
        <v>488.25</v>
      </c>
      <c r="N539" s="44">
        <v>871630</v>
      </c>
      <c r="O539" s="44" t="s">
        <v>361</v>
      </c>
      <c r="P539" s="25">
        <f t="shared" si="17"/>
        <v>-3.9324116743472137E-3</v>
      </c>
    </row>
    <row r="540" spans="2:16">
      <c r="B540" s="44">
        <v>520.50191155018172</v>
      </c>
      <c r="C540" s="44">
        <v>522.17548745345562</v>
      </c>
      <c r="D540" s="44">
        <v>519.55124121459414</v>
      </c>
      <c r="E540" s="44">
        <v>521.4921931497521</v>
      </c>
      <c r="F540" s="44">
        <v>35765633.750405967</v>
      </c>
      <c r="G540" s="44" t="s">
        <v>362</v>
      </c>
      <c r="H540" s="25">
        <f t="shared" si="18"/>
        <v>-1.8989384933821851E-3</v>
      </c>
      <c r="J540" s="44">
        <v>484.39</v>
      </c>
      <c r="K540" s="44">
        <v>487.11669999999998</v>
      </c>
      <c r="L540" s="44">
        <v>482.29</v>
      </c>
      <c r="M540" s="44">
        <v>486</v>
      </c>
      <c r="N540" s="44">
        <v>897792</v>
      </c>
      <c r="O540" s="44" t="s">
        <v>362</v>
      </c>
      <c r="P540" s="25">
        <f t="shared" si="17"/>
        <v>-3.3127572016461437E-3</v>
      </c>
    </row>
    <row r="541" spans="2:16">
      <c r="B541" s="44">
        <v>521.56151286172189</v>
      </c>
      <c r="C541" s="44">
        <v>521.71995791765323</v>
      </c>
      <c r="D541" s="44">
        <v>518.29358358313982</v>
      </c>
      <c r="E541" s="44">
        <v>520.89802419000989</v>
      </c>
      <c r="F541" s="44">
        <v>4696248.0187632013</v>
      </c>
      <c r="G541" s="44" t="s">
        <v>363</v>
      </c>
      <c r="H541" s="25">
        <f t="shared" si="18"/>
        <v>1.2737400429647661E-3</v>
      </c>
      <c r="J541" s="44">
        <v>484.4</v>
      </c>
      <c r="K541" s="44">
        <v>490.51</v>
      </c>
      <c r="L541" s="44">
        <v>482.35</v>
      </c>
      <c r="M541" s="44">
        <v>490.51</v>
      </c>
      <c r="N541" s="44">
        <v>1120916</v>
      </c>
      <c r="O541" s="44" t="s">
        <v>363</v>
      </c>
      <c r="P541" s="25">
        <f t="shared" si="17"/>
        <v>-1.2456422906770515E-2</v>
      </c>
    </row>
    <row r="542" spans="2:16">
      <c r="B542" s="44">
        <v>520.06618764637074</v>
      </c>
      <c r="C542" s="44">
        <v>520.71977350208726</v>
      </c>
      <c r="D542" s="44">
        <v>518.7392103029465</v>
      </c>
      <c r="E542" s="44">
        <v>519.89783977444381</v>
      </c>
      <c r="F542" s="44">
        <v>29576592.1660132</v>
      </c>
      <c r="G542" s="44" t="s">
        <v>364</v>
      </c>
      <c r="H542" s="25">
        <f t="shared" si="18"/>
        <v>3.2380952380939299E-4</v>
      </c>
      <c r="J542" s="44">
        <v>489.07</v>
      </c>
      <c r="K542" s="44">
        <v>491.83240000000001</v>
      </c>
      <c r="L542" s="44">
        <v>486.27</v>
      </c>
      <c r="M542" s="44">
        <v>488.5</v>
      </c>
      <c r="N542" s="44">
        <v>927220</v>
      </c>
      <c r="O542" s="44" t="s">
        <v>364</v>
      </c>
      <c r="P542" s="25">
        <f t="shared" si="17"/>
        <v>1.1668372569089147E-3</v>
      </c>
    </row>
    <row r="543" spans="2:16">
      <c r="B543" s="44">
        <v>518.78872438292501</v>
      </c>
      <c r="C543" s="44">
        <v>519.81861724647808</v>
      </c>
      <c r="D543" s="44">
        <v>516.05554716811071</v>
      </c>
      <c r="E543" s="44">
        <v>518.42232019108394</v>
      </c>
      <c r="F543" s="44">
        <v>5667759.5569129474</v>
      </c>
      <c r="G543" s="44" t="s">
        <v>365</v>
      </c>
      <c r="H543" s="25">
        <f t="shared" si="18"/>
        <v>7.0676777903000421E-4</v>
      </c>
      <c r="J543" s="44">
        <v>486.2</v>
      </c>
      <c r="K543" s="44">
        <v>486.3</v>
      </c>
      <c r="L543" s="44">
        <v>480.16</v>
      </c>
      <c r="M543" s="44">
        <v>485.11</v>
      </c>
      <c r="N543" s="44">
        <v>2734099</v>
      </c>
      <c r="O543" s="44" t="s">
        <v>365</v>
      </c>
      <c r="P543" s="25">
        <f t="shared" si="17"/>
        <v>2.2469130712621244E-3</v>
      </c>
    </row>
    <row r="544" spans="2:16">
      <c r="B544" s="44">
        <v>519.80871443048238</v>
      </c>
      <c r="C544" s="44">
        <v>521.4822903337564</v>
      </c>
      <c r="D544" s="44">
        <v>517.11514847965111</v>
      </c>
      <c r="E544" s="44">
        <v>519.77900598249528</v>
      </c>
      <c r="F544" s="44">
        <v>5612919.6002545981</v>
      </c>
      <c r="G544" s="44" t="s">
        <v>366</v>
      </c>
      <c r="H544" s="25">
        <f t="shared" si="18"/>
        <v>5.7155921353357897E-5</v>
      </c>
      <c r="J544" s="44">
        <v>490.01</v>
      </c>
      <c r="K544" s="44">
        <v>492.74</v>
      </c>
      <c r="L544" s="44">
        <v>486.98</v>
      </c>
      <c r="M544" s="44">
        <v>492</v>
      </c>
      <c r="N544" s="44">
        <v>1225044</v>
      </c>
      <c r="O544" s="44" t="s">
        <v>366</v>
      </c>
      <c r="P544" s="25">
        <f t="shared" si="17"/>
        <v>-4.0447154471544566E-3</v>
      </c>
    </row>
    <row r="545" spans="2:16">
      <c r="B545" s="44">
        <v>510.89618003434907</v>
      </c>
      <c r="C545" s="44">
        <v>517.64990054341911</v>
      </c>
      <c r="D545" s="44">
        <v>510.4604561305382</v>
      </c>
      <c r="E545" s="44">
        <v>513.14411926537377</v>
      </c>
      <c r="F545" s="44">
        <v>6989201.8623821521</v>
      </c>
      <c r="G545" s="44" t="s">
        <v>367</v>
      </c>
      <c r="H545" s="25">
        <f t="shared" si="18"/>
        <v>-4.3807171253231747E-3</v>
      </c>
      <c r="J545" s="44">
        <v>482.09</v>
      </c>
      <c r="K545" s="44">
        <v>488.7473</v>
      </c>
      <c r="L545" s="44">
        <v>479.58</v>
      </c>
      <c r="M545" s="44">
        <v>484.21</v>
      </c>
      <c r="N545" s="44">
        <v>982261</v>
      </c>
      <c r="O545" s="44" t="s">
        <v>367</v>
      </c>
      <c r="P545" s="25">
        <f t="shared" si="17"/>
        <v>-4.3782656285495936E-3</v>
      </c>
    </row>
    <row r="546" spans="2:16">
      <c r="B546" s="44">
        <v>512.55985312162738</v>
      </c>
      <c r="C546" s="44">
        <v>515.6742887522762</v>
      </c>
      <c r="D546" s="44">
        <v>510.49016457852525</v>
      </c>
      <c r="E546" s="44">
        <v>514.39187408083262</v>
      </c>
      <c r="F546" s="44">
        <v>8229938.8411698611</v>
      </c>
      <c r="G546" s="44" t="s">
        <v>368</v>
      </c>
      <c r="H546" s="25">
        <f t="shared" si="18"/>
        <v>-3.5615277991684069E-3</v>
      </c>
      <c r="J546" s="44">
        <v>483.32</v>
      </c>
      <c r="K546" s="44">
        <v>491.27</v>
      </c>
      <c r="L546" s="44">
        <v>482.375</v>
      </c>
      <c r="M546" s="44">
        <v>491.27</v>
      </c>
      <c r="N546" s="44">
        <v>1162561</v>
      </c>
      <c r="O546" s="44" t="s">
        <v>368</v>
      </c>
      <c r="P546" s="25">
        <f t="shared" si="17"/>
        <v>-1.6182547275429005E-2</v>
      </c>
    </row>
    <row r="547" spans="2:16">
      <c r="B547" s="44">
        <v>512.32218553773043</v>
      </c>
      <c r="C547" s="44">
        <v>512.55985312162738</v>
      </c>
      <c r="D547" s="44">
        <v>509.64842521889045</v>
      </c>
      <c r="E547" s="44">
        <v>511.32200112216441</v>
      </c>
      <c r="F547" s="44">
        <v>4298022.9076724881</v>
      </c>
      <c r="G547" s="44" t="s">
        <v>369</v>
      </c>
      <c r="H547" s="25">
        <f t="shared" si="18"/>
        <v>1.9560754541581016E-3</v>
      </c>
      <c r="J547" s="44">
        <v>491.39</v>
      </c>
      <c r="K547" s="44">
        <v>494.01</v>
      </c>
      <c r="L547" s="44">
        <v>488.56830000000002</v>
      </c>
      <c r="M547" s="44">
        <v>493.47</v>
      </c>
      <c r="N547" s="44">
        <v>921409</v>
      </c>
      <c r="O547" s="44" t="s">
        <v>369</v>
      </c>
      <c r="P547" s="25">
        <f t="shared" si="17"/>
        <v>-4.2150485338522392E-3</v>
      </c>
    </row>
    <row r="548" spans="2:16">
      <c r="B548" s="44">
        <v>511.5497658900656</v>
      </c>
      <c r="C548" s="44">
        <v>512.50043622565306</v>
      </c>
      <c r="D548" s="44">
        <v>509.23250694707093</v>
      </c>
      <c r="E548" s="44">
        <v>509.4305632669849</v>
      </c>
      <c r="F548" s="44">
        <v>4459984.9193564206</v>
      </c>
      <c r="G548" s="44" t="s">
        <v>370</v>
      </c>
      <c r="H548" s="25">
        <f t="shared" si="18"/>
        <v>4.1599440157069623E-3</v>
      </c>
      <c r="J548" s="44">
        <v>489.86</v>
      </c>
      <c r="K548" s="44">
        <v>496.18</v>
      </c>
      <c r="L548" s="44">
        <v>489.19</v>
      </c>
      <c r="M548" s="44">
        <v>490.28</v>
      </c>
      <c r="N548" s="44">
        <v>1238094</v>
      </c>
      <c r="O548" s="44" t="s">
        <v>370</v>
      </c>
      <c r="P548" s="25">
        <f t="shared" si="17"/>
        <v>-8.5665334094797707E-4</v>
      </c>
    </row>
    <row r="549" spans="2:16">
      <c r="B549" s="44">
        <v>508.84629712323851</v>
      </c>
      <c r="C549" s="44">
        <v>509.14318354678971</v>
      </c>
      <c r="D549" s="44">
        <v>503.12246947772172</v>
      </c>
      <c r="E549" s="44">
        <v>505.13274112484953</v>
      </c>
      <c r="F549" s="44">
        <v>4139769.9419827382</v>
      </c>
      <c r="G549" s="44" t="s">
        <v>371</v>
      </c>
      <c r="H549" s="25">
        <f t="shared" si="18"/>
        <v>7.3516438275600393E-3</v>
      </c>
      <c r="J549" s="44">
        <v>494.01</v>
      </c>
      <c r="K549" s="44">
        <v>494.15</v>
      </c>
      <c r="L549" s="44">
        <v>486.05</v>
      </c>
      <c r="M549" s="44">
        <v>491.91</v>
      </c>
      <c r="N549" s="44">
        <v>1128767</v>
      </c>
      <c r="O549" s="44" t="s">
        <v>371</v>
      </c>
      <c r="P549" s="25">
        <f t="shared" si="17"/>
        <v>4.2690736110262417E-3</v>
      </c>
    </row>
    <row r="550" spans="2:16">
      <c r="B550" s="44">
        <v>504.50886371712022</v>
      </c>
      <c r="C550" s="44">
        <v>505.4793396846992</v>
      </c>
      <c r="D550" s="44">
        <v>491.42724378679566</v>
      </c>
      <c r="E550" s="44">
        <v>499.40891347933285</v>
      </c>
      <c r="F550" s="44">
        <v>4994369.2805619482</v>
      </c>
      <c r="G550" s="44" t="s">
        <v>372</v>
      </c>
      <c r="H550" s="25">
        <f t="shared" si="18"/>
        <v>1.0211972794511137E-2</v>
      </c>
      <c r="J550" s="44">
        <v>490.93</v>
      </c>
      <c r="K550" s="44">
        <v>491.83</v>
      </c>
      <c r="L550" s="44">
        <v>477.08</v>
      </c>
      <c r="M550" s="44">
        <v>484.18</v>
      </c>
      <c r="N550" s="44">
        <v>1239274</v>
      </c>
      <c r="O550" s="44" t="s">
        <v>372</v>
      </c>
      <c r="P550" s="25">
        <f t="shared" si="17"/>
        <v>1.3941096286504973E-2</v>
      </c>
    </row>
    <row r="551" spans="2:16">
      <c r="B551" s="44">
        <v>499.39901066333715</v>
      </c>
      <c r="C551" s="44">
        <v>499.80007471116312</v>
      </c>
      <c r="D551" s="44">
        <v>494.64536190091951</v>
      </c>
      <c r="E551" s="44">
        <v>499.05241210348748</v>
      </c>
      <c r="F551" s="44">
        <v>3004584.7578010764</v>
      </c>
      <c r="G551" s="44" t="s">
        <v>373</v>
      </c>
      <c r="H551" s="25">
        <f t="shared" si="18"/>
        <v>6.9451334457792946E-4</v>
      </c>
      <c r="J551" s="44">
        <v>484.24</v>
      </c>
      <c r="K551" s="44">
        <v>484.79</v>
      </c>
      <c r="L551" s="44">
        <v>477.5</v>
      </c>
      <c r="M551" s="44">
        <v>477.5</v>
      </c>
      <c r="N551" s="44">
        <v>1006475</v>
      </c>
      <c r="O551" s="44" t="s">
        <v>373</v>
      </c>
      <c r="P551" s="25">
        <f t="shared" si="17"/>
        <v>1.4115183246073304E-2</v>
      </c>
    </row>
    <row r="552" spans="2:16">
      <c r="B552" s="44">
        <v>497.34912775222648</v>
      </c>
      <c r="C552" s="44">
        <v>498.47804877573668</v>
      </c>
      <c r="D552" s="44">
        <v>493.90294778572161</v>
      </c>
      <c r="E552" s="44">
        <v>495.73496874492679</v>
      </c>
      <c r="F552" s="44">
        <v>3692683.9815932065</v>
      </c>
      <c r="G552" s="44" t="s">
        <v>374</v>
      </c>
      <c r="H552" s="25">
        <f t="shared" si="18"/>
        <v>3.2560926887734709E-3</v>
      </c>
      <c r="J552" s="44">
        <v>479.39</v>
      </c>
      <c r="K552" s="44">
        <v>479.99</v>
      </c>
      <c r="L552" s="44">
        <v>473.98</v>
      </c>
      <c r="M552" s="44">
        <v>475</v>
      </c>
      <c r="N552" s="44">
        <v>1121534</v>
      </c>
      <c r="O552" s="44" t="s">
        <v>374</v>
      </c>
      <c r="P552" s="25">
        <f t="shared" si="17"/>
        <v>9.2421052631579403E-3</v>
      </c>
    </row>
    <row r="553" spans="2:16">
      <c r="B553" s="44">
        <v>491.81345361062807</v>
      </c>
      <c r="C553" s="44">
        <v>502.01335408620292</v>
      </c>
      <c r="D553" s="44">
        <v>490.98161706698903</v>
      </c>
      <c r="E553" s="44">
        <v>500.42890352689028</v>
      </c>
      <c r="F553" s="44">
        <v>7484173.1919642175</v>
      </c>
      <c r="G553" s="44" t="s">
        <v>375</v>
      </c>
      <c r="H553" s="25">
        <f t="shared" si="18"/>
        <v>-1.7216131713301941E-2</v>
      </c>
      <c r="J553" s="44">
        <v>471.82</v>
      </c>
      <c r="K553" s="44">
        <v>478.25</v>
      </c>
      <c r="L553" s="44">
        <v>466</v>
      </c>
      <c r="M553" s="44">
        <v>476.92</v>
      </c>
      <c r="N553" s="44">
        <v>1700169</v>
      </c>
      <c r="O553" s="44" t="s">
        <v>375</v>
      </c>
      <c r="P553" s="25">
        <f t="shared" si="17"/>
        <v>-1.0693617378176645E-2</v>
      </c>
    </row>
    <row r="554" spans="2:16">
      <c r="B554" s="44">
        <v>500.14172186301494</v>
      </c>
      <c r="C554" s="44">
        <v>503.99391728534363</v>
      </c>
      <c r="D554" s="44">
        <v>497.95319952796439</v>
      </c>
      <c r="E554" s="44">
        <v>501.43899075845212</v>
      </c>
      <c r="F554" s="44">
        <v>3459186.762115113</v>
      </c>
      <c r="G554" s="44" t="s">
        <v>376</v>
      </c>
      <c r="H554" s="25">
        <f t="shared" si="18"/>
        <v>-2.5870921873766273E-3</v>
      </c>
      <c r="J554" s="44">
        <v>476.69</v>
      </c>
      <c r="K554" s="44">
        <v>480.32</v>
      </c>
      <c r="L554" s="44">
        <v>468.45800000000003</v>
      </c>
      <c r="M554" s="44">
        <v>480.32</v>
      </c>
      <c r="N554" s="44">
        <v>1194761</v>
      </c>
      <c r="O554" s="44" t="s">
        <v>376</v>
      </c>
      <c r="P554" s="25">
        <f t="shared" si="17"/>
        <v>-7.5574616922051696E-3</v>
      </c>
    </row>
    <row r="555" spans="2:16">
      <c r="B555" s="44">
        <v>501.37957386247791</v>
      </c>
      <c r="C555" s="44">
        <v>504.57818342909013</v>
      </c>
      <c r="D555" s="44">
        <v>500.11201341502777</v>
      </c>
      <c r="E555" s="44">
        <v>500.76559927074425</v>
      </c>
      <c r="F555" s="44">
        <v>3636716.0629486055</v>
      </c>
      <c r="G555" s="44" t="s">
        <v>377</v>
      </c>
      <c r="H555" s="25">
        <f t="shared" si="18"/>
        <v>1.2260718240786339E-3</v>
      </c>
      <c r="J555" s="44">
        <v>481.73</v>
      </c>
      <c r="K555" s="44">
        <v>484.64499999999998</v>
      </c>
      <c r="L555" s="44">
        <v>478.28</v>
      </c>
      <c r="M555" s="44">
        <v>480.96</v>
      </c>
      <c r="N555" s="44">
        <v>1321044</v>
      </c>
      <c r="O555" s="44" t="s">
        <v>377</v>
      </c>
      <c r="P555" s="25">
        <f t="shared" si="17"/>
        <v>1.6009647371924007E-3</v>
      </c>
    </row>
    <row r="556" spans="2:16">
      <c r="B556" s="44">
        <v>502.62732867793653</v>
      </c>
      <c r="C556" s="44">
        <v>510.42084486655529</v>
      </c>
      <c r="D556" s="44">
        <v>500.19123594299344</v>
      </c>
      <c r="E556" s="44">
        <v>510.11385757068854</v>
      </c>
      <c r="F556" s="44">
        <v>5924012.9298021281</v>
      </c>
      <c r="G556" s="44" t="s">
        <v>378</v>
      </c>
      <c r="H556" s="25">
        <f t="shared" si="18"/>
        <v>-1.4676191955272588E-2</v>
      </c>
      <c r="J556" s="44">
        <v>483.44</v>
      </c>
      <c r="K556" s="44">
        <v>493.42</v>
      </c>
      <c r="L556" s="44">
        <v>480.8</v>
      </c>
      <c r="M556" s="44">
        <v>491.67</v>
      </c>
      <c r="N556" s="44">
        <v>1356285</v>
      </c>
      <c r="O556" s="44" t="s">
        <v>378</v>
      </c>
      <c r="P556" s="25">
        <f t="shared" ref="P556:P619" si="19">J556/M556-1</f>
        <v>-1.6738869566986003E-2</v>
      </c>
    </row>
    <row r="557" spans="2:16">
      <c r="B557" s="44">
        <v>513.00547984143395</v>
      </c>
      <c r="C557" s="44">
        <v>513.54023190520206</v>
      </c>
      <c r="D557" s="44">
        <v>507.14301277197745</v>
      </c>
      <c r="E557" s="44">
        <v>510.41094205055958</v>
      </c>
      <c r="F557" s="44">
        <v>5693052.3625258831</v>
      </c>
      <c r="G557" s="44" t="s">
        <v>379</v>
      </c>
      <c r="H557" s="25">
        <f t="shared" si="18"/>
        <v>5.0832330914594159E-3</v>
      </c>
      <c r="J557" s="44">
        <v>492.63</v>
      </c>
      <c r="K557" s="44">
        <v>493.44</v>
      </c>
      <c r="L557" s="44">
        <v>485.28</v>
      </c>
      <c r="M557" s="44">
        <v>489.16</v>
      </c>
      <c r="N557" s="44">
        <v>1097792</v>
      </c>
      <c r="O557" s="44" t="s">
        <v>379</v>
      </c>
      <c r="P557" s="25">
        <f t="shared" si="19"/>
        <v>7.0937934418184856E-3</v>
      </c>
    </row>
    <row r="558" spans="2:16">
      <c r="B558" s="44">
        <v>508.22241971550915</v>
      </c>
      <c r="C558" s="44">
        <v>513.05499392141257</v>
      </c>
      <c r="D558" s="44">
        <v>507.1529155879731</v>
      </c>
      <c r="E558" s="44">
        <v>509.98512096274442</v>
      </c>
      <c r="F558" s="44">
        <v>3521367.0551011832</v>
      </c>
      <c r="G558" s="44" t="s">
        <v>380</v>
      </c>
      <c r="H558" s="25">
        <f t="shared" si="18"/>
        <v>-3.4563777937436369E-3</v>
      </c>
      <c r="J558" s="44">
        <v>487.17</v>
      </c>
      <c r="K558" s="44">
        <v>491.66</v>
      </c>
      <c r="L558" s="44">
        <v>481.25</v>
      </c>
      <c r="M558" s="44">
        <v>482.21</v>
      </c>
      <c r="N558" s="44">
        <v>939699</v>
      </c>
      <c r="O558" s="44" t="s">
        <v>380</v>
      </c>
      <c r="P558" s="25">
        <f t="shared" si="19"/>
        <v>1.0285974990149604E-2</v>
      </c>
    </row>
    <row r="559" spans="2:16">
      <c r="B559" s="44">
        <v>508.14319718754348</v>
      </c>
      <c r="C559" s="44">
        <v>511.21307014621163</v>
      </c>
      <c r="D559" s="44">
        <v>505.2020608368195</v>
      </c>
      <c r="E559" s="44">
        <v>510.78724905839636</v>
      </c>
      <c r="F559" s="44">
        <v>3979098.4723027707</v>
      </c>
      <c r="G559" s="44" t="s">
        <v>381</v>
      </c>
      <c r="H559" s="25">
        <f t="shared" si="18"/>
        <v>-5.1764249709189691E-3</v>
      </c>
      <c r="J559" s="44">
        <v>482.21</v>
      </c>
      <c r="K559" s="44">
        <v>485.36</v>
      </c>
      <c r="L559" s="44">
        <v>479.24</v>
      </c>
      <c r="M559" s="44">
        <v>482.93</v>
      </c>
      <c r="N559" s="44">
        <v>960082</v>
      </c>
      <c r="O559" s="44" t="s">
        <v>381</v>
      </c>
      <c r="P559" s="25">
        <f t="shared" si="19"/>
        <v>-1.490899302176385E-3</v>
      </c>
    </row>
    <row r="560" spans="2:16">
      <c r="B560" s="44">
        <v>511.06452790627611</v>
      </c>
      <c r="C560" s="44">
        <v>511.569571522057</v>
      </c>
      <c r="D560" s="44">
        <v>508.17290563553058</v>
      </c>
      <c r="E560" s="44">
        <v>509.26221539505798</v>
      </c>
      <c r="F560" s="44">
        <v>3061531.1859932854</v>
      </c>
      <c r="G560" s="44" t="s">
        <v>382</v>
      </c>
      <c r="H560" s="25">
        <f t="shared" si="18"/>
        <v>3.5390658421812216E-3</v>
      </c>
      <c r="J560" s="44">
        <v>482.35</v>
      </c>
      <c r="K560" s="44">
        <v>483.57</v>
      </c>
      <c r="L560" s="44">
        <v>477</v>
      </c>
      <c r="M560" s="44">
        <v>478.44</v>
      </c>
      <c r="N560" s="44">
        <v>939971</v>
      </c>
      <c r="O560" s="44" t="s">
        <v>382</v>
      </c>
      <c r="P560" s="25">
        <f t="shared" si="19"/>
        <v>8.1723936125741581E-3</v>
      </c>
    </row>
    <row r="561" spans="2:16">
      <c r="B561" s="44">
        <v>510.38123360257254</v>
      </c>
      <c r="C561" s="44">
        <v>513.2530502413266</v>
      </c>
      <c r="D561" s="44">
        <v>508.88095697922341</v>
      </c>
      <c r="E561" s="44">
        <v>512.60936720160589</v>
      </c>
      <c r="F561" s="44">
        <v>3431993.4869783409</v>
      </c>
      <c r="G561" s="44" t="s">
        <v>383</v>
      </c>
      <c r="H561" s="25">
        <f t="shared" si="18"/>
        <v>-4.3466501815934144E-3</v>
      </c>
      <c r="J561" s="44">
        <v>479.19</v>
      </c>
      <c r="K561" s="44">
        <v>487.27499999999998</v>
      </c>
      <c r="L561" s="44">
        <v>476.88</v>
      </c>
      <c r="M561" s="44">
        <v>486.88</v>
      </c>
      <c r="N561" s="44">
        <v>1170898</v>
      </c>
      <c r="O561" s="44" t="s">
        <v>383</v>
      </c>
      <c r="P561" s="25">
        <f t="shared" si="19"/>
        <v>-1.579444627012816E-2</v>
      </c>
    </row>
    <row r="562" spans="2:16">
      <c r="B562" s="44">
        <v>511.63889123402686</v>
      </c>
      <c r="C562" s="44">
        <v>512.52024185764446</v>
      </c>
      <c r="D562" s="44">
        <v>507.27382897128069</v>
      </c>
      <c r="E562" s="44">
        <v>509.331535107028</v>
      </c>
      <c r="F562" s="44">
        <v>5152868.6408127062</v>
      </c>
      <c r="G562" s="44" t="s">
        <v>384</v>
      </c>
      <c r="H562" s="25">
        <f t="shared" si="18"/>
        <v>4.5301654579743555E-3</v>
      </c>
      <c r="J562" s="44">
        <v>486.55</v>
      </c>
      <c r="K562" s="44">
        <v>493.97</v>
      </c>
      <c r="L562" s="44">
        <v>478.18</v>
      </c>
      <c r="M562" s="44">
        <v>492.62</v>
      </c>
      <c r="N562" s="44">
        <v>1155222</v>
      </c>
      <c r="O562" s="44" t="s">
        <v>384</v>
      </c>
      <c r="P562" s="25">
        <f t="shared" si="19"/>
        <v>-1.2321870813202906E-2</v>
      </c>
    </row>
    <row r="563" spans="2:16">
      <c r="B563" s="44">
        <v>506.16263398840277</v>
      </c>
      <c r="C563" s="44">
        <v>512.59946438561019</v>
      </c>
      <c r="D563" s="44">
        <v>505.14264394084529</v>
      </c>
      <c r="E563" s="44">
        <v>512.02510105785927</v>
      </c>
      <c r="F563" s="44">
        <v>3713173.1030802694</v>
      </c>
      <c r="G563" s="44" t="s">
        <v>385</v>
      </c>
      <c r="H563" s="25">
        <f t="shared" si="18"/>
        <v>-1.1449569674112592E-2</v>
      </c>
      <c r="J563" s="44">
        <v>490.43</v>
      </c>
      <c r="K563" s="44">
        <v>491.83</v>
      </c>
      <c r="L563" s="44">
        <v>486.92</v>
      </c>
      <c r="M563" s="44">
        <v>490</v>
      </c>
      <c r="N563" s="44">
        <v>1137808</v>
      </c>
      <c r="O563" s="44" t="s">
        <v>385</v>
      </c>
      <c r="P563" s="25">
        <f t="shared" si="19"/>
        <v>8.7755102040820709E-4</v>
      </c>
    </row>
    <row r="564" spans="2:16">
      <c r="B564" s="44">
        <v>510.29210825861117</v>
      </c>
      <c r="C564" s="44">
        <v>511.63879220586693</v>
      </c>
      <c r="D564" s="44">
        <v>507.86591833966384</v>
      </c>
      <c r="E564" s="44">
        <v>509.47017453096782</v>
      </c>
      <c r="F564" s="44">
        <v>3376867.7530217734</v>
      </c>
      <c r="G564" s="44" t="s">
        <v>386</v>
      </c>
      <c r="H564" s="25">
        <f t="shared" si="18"/>
        <v>1.6133107858571361E-3</v>
      </c>
      <c r="J564" s="44">
        <v>487.42</v>
      </c>
      <c r="K564" s="44">
        <v>488.47</v>
      </c>
      <c r="L564" s="44">
        <v>482.00009999999997</v>
      </c>
      <c r="M564" s="44">
        <v>484.2</v>
      </c>
      <c r="N564" s="44">
        <v>886439</v>
      </c>
      <c r="O564" s="44" t="s">
        <v>386</v>
      </c>
      <c r="P564" s="25">
        <f t="shared" si="19"/>
        <v>6.6501445683602167E-3</v>
      </c>
    </row>
    <row r="565" spans="2:16">
      <c r="B565" s="44">
        <v>508.50960137938455</v>
      </c>
      <c r="C565" s="44">
        <v>510.47025991837393</v>
      </c>
      <c r="D565" s="44">
        <v>507.27174937992157</v>
      </c>
      <c r="E565" s="44">
        <v>508.92551965120407</v>
      </c>
      <c r="F565" s="44">
        <v>3186953.0862425533</v>
      </c>
      <c r="G565" s="44" t="s">
        <v>387</v>
      </c>
      <c r="H565" s="25">
        <f t="shared" si="18"/>
        <v>-8.1724782067238433E-4</v>
      </c>
      <c r="J565" s="44">
        <v>483.21</v>
      </c>
      <c r="K565" s="44">
        <v>488.48</v>
      </c>
      <c r="L565" s="44">
        <v>482.32600000000002</v>
      </c>
      <c r="M565" s="44">
        <v>483</v>
      </c>
      <c r="N565" s="44">
        <v>885479</v>
      </c>
      <c r="O565" s="44" t="s">
        <v>387</v>
      </c>
      <c r="P565" s="25">
        <f t="shared" si="19"/>
        <v>4.3478260869567187E-4</v>
      </c>
    </row>
    <row r="566" spans="2:16">
      <c r="B566" s="44">
        <v>509.35134073901935</v>
      </c>
      <c r="C566" s="44">
        <v>509.35134073901935</v>
      </c>
      <c r="D566" s="44">
        <v>504.1127510772921</v>
      </c>
      <c r="E566" s="44">
        <v>504.9049763569484</v>
      </c>
      <c r="F566" s="44">
        <v>3841647.6703702165</v>
      </c>
      <c r="G566" s="44" t="s">
        <v>388</v>
      </c>
      <c r="H566" s="25">
        <f t="shared" si="18"/>
        <v>8.8063389950181481E-3</v>
      </c>
      <c r="J566" s="44">
        <v>482.16</v>
      </c>
      <c r="K566" s="44">
        <v>482.78</v>
      </c>
      <c r="L566" s="44">
        <v>475.44</v>
      </c>
      <c r="M566" s="44">
        <v>475.44</v>
      </c>
      <c r="N566" s="44">
        <v>977879</v>
      </c>
      <c r="O566" s="44" t="s">
        <v>388</v>
      </c>
      <c r="P566" s="25">
        <f t="shared" si="19"/>
        <v>1.4134275618374659E-2</v>
      </c>
    </row>
    <row r="567" spans="2:16">
      <c r="B567" s="44">
        <v>504.49896090112452</v>
      </c>
      <c r="C567" s="44">
        <v>505.15254675684099</v>
      </c>
      <c r="D567" s="44">
        <v>501.72617242232747</v>
      </c>
      <c r="E567" s="44">
        <v>501.91432592624585</v>
      </c>
      <c r="F567" s="44">
        <v>3483136.5154078021</v>
      </c>
      <c r="G567" s="44" t="s">
        <v>389</v>
      </c>
      <c r="H567" s="25">
        <f t="shared" si="18"/>
        <v>5.149554099913134E-3</v>
      </c>
      <c r="J567" s="44">
        <v>478.98</v>
      </c>
      <c r="K567" s="44">
        <v>482.49990000000003</v>
      </c>
      <c r="L567" s="44">
        <v>477.1</v>
      </c>
      <c r="M567" s="44">
        <v>478.01</v>
      </c>
      <c r="N567" s="44">
        <v>809102</v>
      </c>
      <c r="O567" s="44" t="s">
        <v>389</v>
      </c>
      <c r="P567" s="25">
        <f t="shared" si="19"/>
        <v>2.029246250078609E-3</v>
      </c>
    </row>
    <row r="568" spans="2:16">
      <c r="B568" s="44">
        <v>503.43935958958423</v>
      </c>
      <c r="C568" s="44">
        <v>503.64731872549402</v>
      </c>
      <c r="D568" s="44">
        <v>499.58290595637737</v>
      </c>
      <c r="E568" s="44">
        <v>500.18133312699769</v>
      </c>
      <c r="F568" s="44">
        <v>4320945.680356387</v>
      </c>
      <c r="G568" s="44" t="s">
        <v>390</v>
      </c>
      <c r="H568" s="25">
        <f t="shared" si="18"/>
        <v>6.5136906293927765E-3</v>
      </c>
      <c r="J568" s="44">
        <v>480.17</v>
      </c>
      <c r="K568" s="44">
        <v>480.54</v>
      </c>
      <c r="L568" s="44">
        <v>474.16</v>
      </c>
      <c r="M568" s="44">
        <v>476.87</v>
      </c>
      <c r="N568" s="44">
        <v>1599862</v>
      </c>
      <c r="O568" s="44" t="s">
        <v>390</v>
      </c>
      <c r="P568" s="25">
        <f t="shared" si="19"/>
        <v>6.9201249816512878E-3</v>
      </c>
    </row>
    <row r="569" spans="2:16">
      <c r="B569" s="44">
        <v>494.9427434652705</v>
      </c>
      <c r="C569" s="44">
        <v>495.98253914481938</v>
      </c>
      <c r="D569" s="44">
        <v>491.65302799149771</v>
      </c>
      <c r="E569" s="44">
        <v>494.07129565764859</v>
      </c>
      <c r="F569" s="44">
        <v>3736818.9024267974</v>
      </c>
      <c r="G569" s="44" t="s">
        <v>391</v>
      </c>
      <c r="H569" s="25">
        <f t="shared" si="18"/>
        <v>1.7638098292311888E-3</v>
      </c>
      <c r="J569" s="44">
        <v>471.21</v>
      </c>
      <c r="K569" s="44">
        <v>473.75</v>
      </c>
      <c r="L569" s="44">
        <v>466.34</v>
      </c>
      <c r="M569" s="44">
        <v>468.78</v>
      </c>
      <c r="N569" s="44">
        <v>1109652</v>
      </c>
      <c r="O569" s="44" t="s">
        <v>391</v>
      </c>
      <c r="P569" s="25">
        <f t="shared" si="19"/>
        <v>5.1836682452324201E-3</v>
      </c>
    </row>
    <row r="570" spans="2:16">
      <c r="B570" s="44">
        <v>493.36819572195355</v>
      </c>
      <c r="C570" s="44">
        <v>493.53654359388054</v>
      </c>
      <c r="D570" s="44">
        <v>488.12960606022637</v>
      </c>
      <c r="E570" s="44">
        <v>488.3474680121318</v>
      </c>
      <c r="F570" s="44">
        <v>3279761.0310128825</v>
      </c>
      <c r="G570" s="44" t="s">
        <v>392</v>
      </c>
      <c r="H570" s="25">
        <f t="shared" si="18"/>
        <v>1.0281056089548546E-2</v>
      </c>
      <c r="J570" s="44">
        <v>469.23</v>
      </c>
      <c r="K570" s="44">
        <v>470.49</v>
      </c>
      <c r="L570" s="44">
        <v>463.01</v>
      </c>
      <c r="M570" s="44">
        <v>468.23</v>
      </c>
      <c r="N570" s="44">
        <v>891659</v>
      </c>
      <c r="O570" s="44" t="s">
        <v>392</v>
      </c>
      <c r="P570" s="25">
        <f t="shared" si="19"/>
        <v>2.1357025393502482E-3</v>
      </c>
    </row>
    <row r="571" spans="2:16">
      <c r="B571" s="44">
        <v>485.3073035014508</v>
      </c>
      <c r="C571" s="44">
        <v>487.56514554847126</v>
      </c>
      <c r="D571" s="44">
        <v>483.23761495834873</v>
      </c>
      <c r="E571" s="44">
        <v>486.16884849307701</v>
      </c>
      <c r="F571" s="44">
        <v>3613249.0006401851</v>
      </c>
      <c r="G571" s="44" t="s">
        <v>393</v>
      </c>
      <c r="H571" s="25">
        <f t="shared" si="18"/>
        <v>-1.7721106448852497E-3</v>
      </c>
      <c r="J571" s="44">
        <v>465.53</v>
      </c>
      <c r="K571" s="44">
        <v>466.815</v>
      </c>
      <c r="L571" s="44">
        <v>458.26499999999999</v>
      </c>
      <c r="M571" s="44">
        <v>464.76</v>
      </c>
      <c r="N571" s="44">
        <v>1013878</v>
      </c>
      <c r="O571" s="44" t="s">
        <v>393</v>
      </c>
      <c r="P571" s="25">
        <f t="shared" si="19"/>
        <v>1.6567690851192474E-3</v>
      </c>
    </row>
    <row r="572" spans="2:16">
      <c r="B572" s="44">
        <v>485.05973310155821</v>
      </c>
      <c r="C572" s="44">
        <v>486.43622452496101</v>
      </c>
      <c r="D572" s="44">
        <v>481.09860670327669</v>
      </c>
      <c r="E572" s="44">
        <v>482.19781927879984</v>
      </c>
      <c r="F572" s="44">
        <v>7736517.5757318391</v>
      </c>
      <c r="G572" s="44" t="s">
        <v>394</v>
      </c>
      <c r="H572" s="25">
        <f t="shared" si="18"/>
        <v>5.9351446819870812E-3</v>
      </c>
      <c r="J572" s="44">
        <v>463.42500000000001</v>
      </c>
      <c r="K572" s="44">
        <v>465.7</v>
      </c>
      <c r="L572" s="44">
        <v>460.12</v>
      </c>
      <c r="M572" s="44">
        <v>462.59</v>
      </c>
      <c r="N572" s="44">
        <v>1022572</v>
      </c>
      <c r="O572" s="44" t="s">
        <v>394</v>
      </c>
      <c r="P572" s="25">
        <f t="shared" si="19"/>
        <v>1.8050541516245744E-3</v>
      </c>
    </row>
    <row r="573" spans="2:16">
      <c r="B573" s="44">
        <v>482.99004455845613</v>
      </c>
      <c r="C573" s="44">
        <v>483.52479662222407</v>
      </c>
      <c r="D573" s="44">
        <v>474.97866641793183</v>
      </c>
      <c r="E573" s="44">
        <v>476.81068737713701</v>
      </c>
      <c r="F573" s="44">
        <v>4218228.4330157014</v>
      </c>
      <c r="G573" s="44" t="s">
        <v>395</v>
      </c>
      <c r="H573" s="25">
        <f t="shared" si="18"/>
        <v>1.295977071174903E-2</v>
      </c>
      <c r="J573" s="44">
        <v>463.61</v>
      </c>
      <c r="K573" s="44">
        <v>464.13499999999999</v>
      </c>
      <c r="L573" s="44">
        <v>451.06</v>
      </c>
      <c r="M573" s="44">
        <v>453.6</v>
      </c>
      <c r="N573" s="44">
        <v>1289298</v>
      </c>
      <c r="O573" s="44" t="s">
        <v>395</v>
      </c>
      <c r="P573" s="25">
        <f t="shared" si="19"/>
        <v>2.2067901234567922E-2</v>
      </c>
    </row>
    <row r="574" spans="2:16">
      <c r="B574" s="44">
        <v>471.97811317123364</v>
      </c>
      <c r="C574" s="44">
        <v>483.80207547010383</v>
      </c>
      <c r="D574" s="44">
        <v>471.48297237144845</v>
      </c>
      <c r="E574" s="44">
        <v>480.97977291132827</v>
      </c>
      <c r="F574" s="44">
        <v>6035001.5617707362</v>
      </c>
      <c r="G574" s="44" t="s">
        <v>396</v>
      </c>
      <c r="H574" s="25">
        <f t="shared" si="18"/>
        <v>-1.8715256331068519E-2</v>
      </c>
      <c r="J574" s="44">
        <v>449.26</v>
      </c>
      <c r="K574" s="44">
        <v>461.7099</v>
      </c>
      <c r="L574" s="44">
        <v>448.59010000000001</v>
      </c>
      <c r="M574" s="44">
        <v>452</v>
      </c>
      <c r="N574" s="44">
        <v>1713170</v>
      </c>
      <c r="O574" s="44" t="s">
        <v>396</v>
      </c>
      <c r="P574" s="25">
        <f t="shared" si="19"/>
        <v>-6.0619469026549355E-3</v>
      </c>
    </row>
    <row r="575" spans="2:16">
      <c r="B575" s="44">
        <v>475.27575089780294</v>
      </c>
      <c r="C575" s="44">
        <v>482.12849956682993</v>
      </c>
      <c r="D575" s="44">
        <v>471.31462449952147</v>
      </c>
      <c r="E575" s="44">
        <v>472.75053281889848</v>
      </c>
      <c r="F575" s="44">
        <v>8336053.1020483728</v>
      </c>
      <c r="G575" s="44" t="s">
        <v>397</v>
      </c>
      <c r="H575" s="25">
        <f t="shared" si="18"/>
        <v>5.3415446490290286E-3</v>
      </c>
      <c r="J575" s="44">
        <v>447.66</v>
      </c>
      <c r="K575" s="44">
        <v>456.24</v>
      </c>
      <c r="L575" s="44">
        <v>438.66</v>
      </c>
      <c r="M575" s="44">
        <v>439.01</v>
      </c>
      <c r="N575" s="44">
        <v>1686070</v>
      </c>
      <c r="O575" s="44" t="s">
        <v>397</v>
      </c>
      <c r="P575" s="25">
        <f t="shared" si="19"/>
        <v>1.970342361221844E-2</v>
      </c>
    </row>
    <row r="576" spans="2:16">
      <c r="B576" s="44">
        <v>470.58181611583939</v>
      </c>
      <c r="C576" s="44">
        <v>476.50370008127021</v>
      </c>
      <c r="D576" s="44">
        <v>464.33313922255036</v>
      </c>
      <c r="E576" s="44">
        <v>465.60069967000044</v>
      </c>
      <c r="F576" s="44">
        <v>15393879.888926227</v>
      </c>
      <c r="G576" s="44" t="s">
        <v>398</v>
      </c>
      <c r="H576" s="25">
        <f t="shared" si="18"/>
        <v>1.0698258076865752E-2</v>
      </c>
      <c r="J576" s="44">
        <v>438</v>
      </c>
      <c r="K576" s="44">
        <v>444.57499999999999</v>
      </c>
      <c r="L576" s="44">
        <v>429.6</v>
      </c>
      <c r="M576" s="44">
        <v>437.55</v>
      </c>
      <c r="N576" s="44">
        <v>2465683</v>
      </c>
      <c r="O576" s="44" t="s">
        <v>398</v>
      </c>
      <c r="P576" s="25">
        <f t="shared" si="19"/>
        <v>1.028453890983938E-3</v>
      </c>
    </row>
    <row r="577" spans="2:16">
      <c r="B577" s="44">
        <v>485.14885844551952</v>
      </c>
      <c r="C577" s="44">
        <v>488.72377501996851</v>
      </c>
      <c r="D577" s="44">
        <v>481.07880107128534</v>
      </c>
      <c r="E577" s="44">
        <v>487.62456244444547</v>
      </c>
      <c r="F577" s="44">
        <v>8645183.3536180388</v>
      </c>
      <c r="G577" s="44" t="s">
        <v>399</v>
      </c>
      <c r="H577" s="25">
        <f t="shared" si="18"/>
        <v>-5.0770699214069959E-3</v>
      </c>
      <c r="J577" s="44">
        <v>449.73</v>
      </c>
      <c r="K577" s="44">
        <v>455.73</v>
      </c>
      <c r="L577" s="44">
        <v>439.89</v>
      </c>
      <c r="M577" s="44">
        <v>455.73</v>
      </c>
      <c r="N577" s="44">
        <v>2059603</v>
      </c>
      <c r="O577" s="44" t="s">
        <v>399</v>
      </c>
      <c r="P577" s="25">
        <f t="shared" si="19"/>
        <v>-1.3165690211309311E-2</v>
      </c>
    </row>
    <row r="578" spans="2:16">
      <c r="B578" s="44">
        <v>494.18022663360125</v>
      </c>
      <c r="C578" s="44">
        <v>504.9445876209312</v>
      </c>
      <c r="D578" s="44">
        <v>490.93210298701047</v>
      </c>
      <c r="E578" s="44">
        <v>502.90460752581623</v>
      </c>
      <c r="F578" s="44">
        <v>7007316.9116850803</v>
      </c>
      <c r="G578" s="44" t="s">
        <v>400</v>
      </c>
      <c r="H578" s="25">
        <f t="shared" ref="H578:H641" si="20">B578/E578-1</f>
        <v>-1.7347983616887275E-2</v>
      </c>
      <c r="J578" s="44">
        <v>450.94</v>
      </c>
      <c r="K578" s="44">
        <v>452.72</v>
      </c>
      <c r="L578" s="44">
        <v>443.3</v>
      </c>
      <c r="M578" s="44">
        <v>443.3</v>
      </c>
      <c r="N578" s="44">
        <v>2017899</v>
      </c>
      <c r="O578" s="44" t="s">
        <v>400</v>
      </c>
      <c r="P578" s="25">
        <f t="shared" si="19"/>
        <v>1.7234378524701111E-2</v>
      </c>
    </row>
    <row r="579" spans="2:16">
      <c r="B579" s="44">
        <v>501.01316967063684</v>
      </c>
      <c r="C579" s="44">
        <v>503.7099045225869</v>
      </c>
      <c r="D579" s="44">
        <v>498.41368047176462</v>
      </c>
      <c r="E579" s="44">
        <v>499.57726135125984</v>
      </c>
      <c r="F579" s="44">
        <v>5420263.289077281</v>
      </c>
      <c r="G579" s="44" t="s">
        <v>401</v>
      </c>
      <c r="H579" s="25">
        <f t="shared" si="20"/>
        <v>2.8742467491278401E-3</v>
      </c>
      <c r="J579" s="44">
        <v>444.61</v>
      </c>
      <c r="K579" s="44">
        <v>447.31</v>
      </c>
      <c r="L579" s="44">
        <v>432.40499999999997</v>
      </c>
      <c r="M579" s="44">
        <v>438.5</v>
      </c>
      <c r="N579" s="44">
        <v>1763234</v>
      </c>
      <c r="O579" s="44" t="s">
        <v>401</v>
      </c>
      <c r="P579" s="25">
        <f t="shared" si="19"/>
        <v>1.3933865450399097E-2</v>
      </c>
    </row>
    <row r="580" spans="2:16">
      <c r="B580" s="44">
        <v>493.23945911400943</v>
      </c>
      <c r="C580" s="44">
        <v>498.12154739989137</v>
      </c>
      <c r="D580" s="44">
        <v>490.10521785136922</v>
      </c>
      <c r="E580" s="44">
        <v>497.1708770643038</v>
      </c>
      <c r="F580" s="44">
        <v>3855267.0287485314</v>
      </c>
      <c r="G580" s="44" t="s">
        <v>402</v>
      </c>
      <c r="H580" s="25">
        <f t="shared" si="20"/>
        <v>-7.9075789264017038E-3</v>
      </c>
      <c r="J580" s="44">
        <v>432.69</v>
      </c>
      <c r="K580" s="44">
        <v>448.57499999999999</v>
      </c>
      <c r="L580" s="44">
        <v>431.56</v>
      </c>
      <c r="M580" s="44">
        <v>443.66</v>
      </c>
      <c r="N580" s="44">
        <v>1547686</v>
      </c>
      <c r="O580" s="44" t="s">
        <v>402</v>
      </c>
      <c r="P580" s="25">
        <f t="shared" si="19"/>
        <v>-2.4726141639994648E-2</v>
      </c>
    </row>
    <row r="581" spans="2:16">
      <c r="B581" s="44">
        <v>495.8339969048838</v>
      </c>
      <c r="C581" s="44">
        <v>497.87892840799663</v>
      </c>
      <c r="D581" s="44">
        <v>493.92730871307106</v>
      </c>
      <c r="E581" s="44">
        <v>496.9431122964026</v>
      </c>
      <c r="F581" s="44">
        <v>3126563.1930788858</v>
      </c>
      <c r="G581" s="44" t="s">
        <v>403</v>
      </c>
      <c r="H581" s="25">
        <f t="shared" si="20"/>
        <v>-2.2318759714637926E-3</v>
      </c>
      <c r="J581" s="44">
        <v>443.66</v>
      </c>
      <c r="K581" s="44">
        <v>448.27</v>
      </c>
      <c r="L581" s="44">
        <v>439.41</v>
      </c>
      <c r="M581" s="44">
        <v>446.6</v>
      </c>
      <c r="N581" s="44">
        <v>1120461</v>
      </c>
      <c r="O581" s="44" t="s">
        <v>403</v>
      </c>
      <c r="P581" s="25">
        <f t="shared" si="19"/>
        <v>-6.5830721003135029E-3</v>
      </c>
    </row>
    <row r="582" spans="2:16">
      <c r="B582" s="44">
        <v>495.46759271304273</v>
      </c>
      <c r="C582" s="44">
        <v>497.99776219994504</v>
      </c>
      <c r="D582" s="44">
        <v>492.83344365818562</v>
      </c>
      <c r="E582" s="44">
        <v>493.51673796188913</v>
      </c>
      <c r="F582" s="44">
        <v>3671666.7275020173</v>
      </c>
      <c r="G582" s="44" t="s">
        <v>404</v>
      </c>
      <c r="H582" s="25">
        <f t="shared" si="20"/>
        <v>3.9529657275865215E-3</v>
      </c>
      <c r="J582" s="44">
        <v>441.3</v>
      </c>
      <c r="K582" s="44">
        <v>446.16</v>
      </c>
      <c r="L582" s="44">
        <v>432.87</v>
      </c>
      <c r="M582" s="44">
        <v>438.6</v>
      </c>
      <c r="N582" s="44">
        <v>1196597</v>
      </c>
      <c r="O582" s="44" t="s">
        <v>404</v>
      </c>
      <c r="P582" s="25">
        <f t="shared" si="19"/>
        <v>6.1559507523940571E-3</v>
      </c>
    </row>
    <row r="583" spans="2:16">
      <c r="B583" s="44">
        <v>489.97152983542719</v>
      </c>
      <c r="C583" s="44">
        <v>498.25028400783549</v>
      </c>
      <c r="D583" s="44">
        <v>489.11988765979675</v>
      </c>
      <c r="E583" s="44">
        <v>492.71460986623714</v>
      </c>
      <c r="F583" s="44">
        <v>5702015.4695894197</v>
      </c>
      <c r="G583" s="44" t="s">
        <v>405</v>
      </c>
      <c r="H583" s="25">
        <f t="shared" si="20"/>
        <v>-5.5672796703849503E-3</v>
      </c>
      <c r="J583" s="44">
        <v>436.74</v>
      </c>
      <c r="K583" s="44">
        <v>457.37</v>
      </c>
      <c r="L583" s="44">
        <v>436.2</v>
      </c>
      <c r="M583" s="44">
        <v>453.22</v>
      </c>
      <c r="N583" s="44">
        <v>1819212</v>
      </c>
      <c r="O583" s="44" t="s">
        <v>405</v>
      </c>
      <c r="P583" s="25">
        <f t="shared" si="19"/>
        <v>-3.6362031684391671E-2</v>
      </c>
    </row>
    <row r="584" spans="2:16">
      <c r="B584" s="44">
        <v>492.45713665034884</v>
      </c>
      <c r="C584" s="44">
        <v>499.79512330316527</v>
      </c>
      <c r="D584" s="44">
        <v>491.71937685866897</v>
      </c>
      <c r="E584" s="44">
        <v>499.52774727128127</v>
      </c>
      <c r="F584" s="44">
        <v>6217829.3554796651</v>
      </c>
      <c r="G584" s="44" t="s">
        <v>406</v>
      </c>
      <c r="H584" s="25">
        <f t="shared" si="20"/>
        <v>-1.4154590329679029E-2</v>
      </c>
      <c r="J584" s="44">
        <v>454.02</v>
      </c>
      <c r="K584" s="44">
        <v>460.59</v>
      </c>
      <c r="L584" s="44">
        <v>452.25</v>
      </c>
      <c r="M584" s="44">
        <v>455.25</v>
      </c>
      <c r="N584" s="44">
        <v>2296520</v>
      </c>
      <c r="O584" s="44" t="s">
        <v>406</v>
      </c>
      <c r="P584" s="25">
        <f t="shared" si="19"/>
        <v>-2.7018121911038806E-3</v>
      </c>
    </row>
    <row r="585" spans="2:16">
      <c r="B585" s="44">
        <v>503.99391728534363</v>
      </c>
      <c r="C585" s="44">
        <v>506.67758042017931</v>
      </c>
      <c r="D585" s="44">
        <v>503.548290565537</v>
      </c>
      <c r="E585" s="44">
        <v>504.70692003703437</v>
      </c>
      <c r="F585" s="44">
        <v>3146625.1633392838</v>
      </c>
      <c r="G585" s="44" t="s">
        <v>407</v>
      </c>
      <c r="H585" s="25">
        <f t="shared" si="20"/>
        <v>-1.4127065102226277E-3</v>
      </c>
      <c r="J585" s="44">
        <v>455.06</v>
      </c>
      <c r="K585" s="44">
        <v>462.61</v>
      </c>
      <c r="L585" s="44">
        <v>454.36</v>
      </c>
      <c r="M585" s="44">
        <v>459.1</v>
      </c>
      <c r="N585" s="44">
        <v>1753079</v>
      </c>
      <c r="O585" s="44" t="s">
        <v>407</v>
      </c>
      <c r="P585" s="25">
        <f t="shared" si="19"/>
        <v>-8.7998257460248919E-3</v>
      </c>
    </row>
    <row r="586" spans="2:16">
      <c r="B586" s="44">
        <v>504.83565664497849</v>
      </c>
      <c r="C586" s="44">
        <v>505.36050589275072</v>
      </c>
      <c r="D586" s="44">
        <v>501.51821328641773</v>
      </c>
      <c r="E586" s="44">
        <v>503.33042861363151</v>
      </c>
      <c r="F586" s="44">
        <v>4385549.5264015486</v>
      </c>
      <c r="G586" s="44" t="s">
        <v>408</v>
      </c>
      <c r="H586" s="25">
        <f t="shared" si="20"/>
        <v>2.9905365258622307E-3</v>
      </c>
      <c r="J586" s="44">
        <v>461.12</v>
      </c>
      <c r="K586" s="44">
        <v>468.7799</v>
      </c>
      <c r="L586" s="44">
        <v>459.18</v>
      </c>
      <c r="M586" s="44">
        <v>462.33</v>
      </c>
      <c r="N586" s="44">
        <v>2574379</v>
      </c>
      <c r="O586" s="44" t="s">
        <v>408</v>
      </c>
      <c r="P586" s="25">
        <f t="shared" si="19"/>
        <v>-2.6171782060432358E-3</v>
      </c>
    </row>
    <row r="587" spans="2:16">
      <c r="B587" s="44">
        <v>499.64658106322975</v>
      </c>
      <c r="C587" s="44">
        <v>504.25139050123192</v>
      </c>
      <c r="D587" s="44">
        <v>498.66620227965507</v>
      </c>
      <c r="E587" s="44">
        <v>502.70655120590214</v>
      </c>
      <c r="F587" s="44">
        <v>4079079.1243142341</v>
      </c>
      <c r="G587" s="44" t="s">
        <v>409</v>
      </c>
      <c r="H587" s="25">
        <f t="shared" si="20"/>
        <v>-6.0869907808682733E-3</v>
      </c>
      <c r="J587" s="44">
        <v>455.01</v>
      </c>
      <c r="K587" s="44">
        <v>456.81</v>
      </c>
      <c r="L587" s="44">
        <v>439</v>
      </c>
      <c r="M587" s="44">
        <v>449.43</v>
      </c>
      <c r="N587" s="44">
        <v>4201310</v>
      </c>
      <c r="O587" s="44" t="s">
        <v>409</v>
      </c>
      <c r="P587" s="25">
        <f t="shared" si="19"/>
        <v>1.2415726587010179E-2</v>
      </c>
    </row>
    <row r="588" spans="2:16">
      <c r="B588" s="44">
        <v>503.0036356857733</v>
      </c>
      <c r="C588" s="44">
        <v>509.19289568308812</v>
      </c>
      <c r="D588" s="44">
        <v>500.95474305626215</v>
      </c>
      <c r="E588" s="44">
        <v>508.26203097949195</v>
      </c>
      <c r="F588" s="44">
        <v>5105466.9724182151</v>
      </c>
      <c r="G588" s="44" t="s">
        <v>410</v>
      </c>
      <c r="H588" s="25">
        <f t="shared" si="20"/>
        <v>-1.0345835362883582E-2</v>
      </c>
      <c r="J588" s="44">
        <v>416.14</v>
      </c>
      <c r="K588" s="44">
        <v>427.33</v>
      </c>
      <c r="L588" s="44">
        <v>413.82</v>
      </c>
      <c r="M588" s="44">
        <v>425</v>
      </c>
      <c r="N588" s="44">
        <v>3856042</v>
      </c>
      <c r="O588" s="44" t="s">
        <v>410</v>
      </c>
      <c r="P588" s="25">
        <f t="shared" si="19"/>
        <v>-2.0847058823529441E-2</v>
      </c>
    </row>
    <row r="589" spans="2:16">
      <c r="B589" s="44">
        <v>506.81621984411925</v>
      </c>
      <c r="C589" s="44">
        <v>510.10395475469284</v>
      </c>
      <c r="D589" s="44">
        <v>506.588455076218</v>
      </c>
      <c r="E589" s="44">
        <v>508.5690182753587</v>
      </c>
      <c r="F589" s="44">
        <v>5033220.8557267217</v>
      </c>
      <c r="G589" s="44" t="s">
        <v>411</v>
      </c>
      <c r="H589" s="25">
        <f t="shared" si="20"/>
        <v>-3.4465301035904172E-3</v>
      </c>
      <c r="J589" s="44">
        <v>426.23</v>
      </c>
      <c r="K589" s="44">
        <v>436.32499999999999</v>
      </c>
      <c r="L589" s="44">
        <v>426.01</v>
      </c>
      <c r="M589" s="44">
        <v>430.01</v>
      </c>
      <c r="N589" s="44">
        <v>2388617</v>
      </c>
      <c r="O589" s="44" t="s">
        <v>411</v>
      </c>
      <c r="P589" s="25">
        <f t="shared" si="19"/>
        <v>-8.7904932443431116E-3</v>
      </c>
    </row>
    <row r="590" spans="2:16">
      <c r="B590" s="44">
        <v>513.99576144100433</v>
      </c>
      <c r="C590" s="44">
        <v>514.3522628168497</v>
      </c>
      <c r="D590" s="44">
        <v>511.57947433805271</v>
      </c>
      <c r="E590" s="44">
        <v>512.30237990573903</v>
      </c>
      <c r="F590" s="44">
        <v>4205167.5016547516</v>
      </c>
      <c r="G590" s="44" t="s">
        <v>412</v>
      </c>
      <c r="H590" s="25">
        <f t="shared" si="20"/>
        <v>3.3054336690312436E-3</v>
      </c>
      <c r="J590" s="44">
        <v>438.01</v>
      </c>
      <c r="K590" s="44">
        <v>442.09249999999997</v>
      </c>
      <c r="L590" s="44">
        <v>433.22</v>
      </c>
      <c r="M590" s="44">
        <v>440.84</v>
      </c>
      <c r="N590" s="44">
        <v>1436106</v>
      </c>
      <c r="O590" s="44" t="s">
        <v>412</v>
      </c>
      <c r="P590" s="25">
        <f t="shared" si="19"/>
        <v>-6.4195626531167171E-3</v>
      </c>
    </row>
    <row r="591" spans="2:16">
      <c r="B591" s="44">
        <v>511.09423635426322</v>
      </c>
      <c r="C591" s="44">
        <v>514.07498396897006</v>
      </c>
      <c r="D591" s="44">
        <v>509.34143792302365</v>
      </c>
      <c r="E591" s="44">
        <v>511.5596687060613</v>
      </c>
      <c r="F591" s="44">
        <v>7847791.9849986648</v>
      </c>
      <c r="G591" s="44" t="s">
        <v>413</v>
      </c>
      <c r="H591" s="25">
        <f t="shared" si="20"/>
        <v>-9.0983003600608736E-4</v>
      </c>
      <c r="J591" s="44">
        <v>437.25</v>
      </c>
      <c r="K591" s="44">
        <v>444.39499999999998</v>
      </c>
      <c r="L591" s="44">
        <v>433.9101</v>
      </c>
      <c r="M591" s="44">
        <v>444</v>
      </c>
      <c r="N591" s="44">
        <v>1573083</v>
      </c>
      <c r="O591" s="44" t="s">
        <v>413</v>
      </c>
      <c r="P591" s="25">
        <f t="shared" si="19"/>
        <v>-1.5202702702702742E-2</v>
      </c>
    </row>
    <row r="592" spans="2:16">
      <c r="B592" s="44">
        <v>509.54939705893338</v>
      </c>
      <c r="C592" s="44">
        <v>512.99557702543825</v>
      </c>
      <c r="D592" s="44">
        <v>507.1925268519559</v>
      </c>
      <c r="E592" s="44">
        <v>507.50941696381847</v>
      </c>
      <c r="F592" s="44">
        <v>5289576.2198071387</v>
      </c>
      <c r="G592" s="44" t="s">
        <v>414</v>
      </c>
      <c r="H592" s="25">
        <f t="shared" si="20"/>
        <v>4.0195906261584202E-3</v>
      </c>
      <c r="J592" s="44">
        <v>444.16</v>
      </c>
      <c r="K592" s="44">
        <v>447.14</v>
      </c>
      <c r="L592" s="44">
        <v>439.61</v>
      </c>
      <c r="M592" s="44">
        <v>442.84</v>
      </c>
      <c r="N592" s="44">
        <v>1151601</v>
      </c>
      <c r="O592" s="44" t="s">
        <v>414</v>
      </c>
      <c r="P592" s="25">
        <f t="shared" si="19"/>
        <v>2.9807605455696162E-3</v>
      </c>
    </row>
    <row r="593" spans="2:16">
      <c r="B593" s="44">
        <v>506.42010720429101</v>
      </c>
      <c r="C593" s="44">
        <v>511.76762784197103</v>
      </c>
      <c r="D593" s="44">
        <v>505.86059810053376</v>
      </c>
      <c r="E593" s="44">
        <v>510.98530537831044</v>
      </c>
      <c r="F593" s="44">
        <v>5600738.2166913431</v>
      </c>
      <c r="G593" s="44" t="s">
        <v>415</v>
      </c>
      <c r="H593" s="25">
        <f t="shared" si="20"/>
        <v>-8.9341085271318343E-3</v>
      </c>
      <c r="J593" s="44">
        <v>443.5</v>
      </c>
      <c r="K593" s="44">
        <v>449</v>
      </c>
      <c r="L593" s="44">
        <v>442.7</v>
      </c>
      <c r="M593" s="44">
        <v>444.74</v>
      </c>
      <c r="N593" s="44">
        <v>1818580</v>
      </c>
      <c r="O593" s="44" t="s">
        <v>415</v>
      </c>
      <c r="P593" s="25">
        <f t="shared" si="19"/>
        <v>-2.7881458829878136E-3</v>
      </c>
    </row>
    <row r="594" spans="2:16">
      <c r="B594" s="44">
        <v>510.79715187439206</v>
      </c>
      <c r="C594" s="44">
        <v>511.16850747423092</v>
      </c>
      <c r="D594" s="44">
        <v>506.71719168416217</v>
      </c>
      <c r="E594" s="44">
        <v>507.00437334803757</v>
      </c>
      <c r="F594" s="44">
        <v>3480750.3254583725</v>
      </c>
      <c r="G594" s="44" t="s">
        <v>416</v>
      </c>
      <c r="H594" s="25">
        <f t="shared" si="20"/>
        <v>7.480760967225164E-3</v>
      </c>
      <c r="J594" s="44">
        <v>444.74</v>
      </c>
      <c r="K594" s="44">
        <v>445.48</v>
      </c>
      <c r="L594" s="44">
        <v>438.85</v>
      </c>
      <c r="M594" s="44">
        <v>441.69</v>
      </c>
      <c r="N594" s="44">
        <v>1082924</v>
      </c>
      <c r="O594" s="44" t="s">
        <v>416</v>
      </c>
      <c r="P594" s="25">
        <f t="shared" si="19"/>
        <v>6.9052955692907592E-3</v>
      </c>
    </row>
    <row r="595" spans="2:16">
      <c r="B595" s="44">
        <v>505.92496640450588</v>
      </c>
      <c r="C595" s="44">
        <v>507.03408179602468</v>
      </c>
      <c r="D595" s="44">
        <v>505.57836784465627</v>
      </c>
      <c r="E595" s="44">
        <v>506.24185651636839</v>
      </c>
      <c r="F595" s="44">
        <v>3176695.3979199519</v>
      </c>
      <c r="G595" s="44" t="s">
        <v>417</v>
      </c>
      <c r="H595" s="25">
        <f t="shared" si="20"/>
        <v>-6.2596584573848535E-4</v>
      </c>
      <c r="J595" s="44">
        <v>442.3</v>
      </c>
      <c r="K595" s="44">
        <v>447.62</v>
      </c>
      <c r="L595" s="44">
        <v>441.27</v>
      </c>
      <c r="M595" s="44">
        <v>447.62</v>
      </c>
      <c r="N595" s="44">
        <v>889602</v>
      </c>
      <c r="O595" s="44" t="s">
        <v>417</v>
      </c>
      <c r="P595" s="25">
        <f t="shared" si="19"/>
        <v>-1.188508109557207E-2</v>
      </c>
    </row>
    <row r="596" spans="2:16">
      <c r="B596" s="44">
        <v>505.37040870874642</v>
      </c>
      <c r="C596" s="44">
        <v>506.23690510837054</v>
      </c>
      <c r="D596" s="44">
        <v>504.3702242931804</v>
      </c>
      <c r="E596" s="44">
        <v>505.53875658067341</v>
      </c>
      <c r="F596" s="44">
        <v>3174227.4130547778</v>
      </c>
      <c r="G596" s="44" t="s">
        <v>418</v>
      </c>
      <c r="H596" s="25">
        <f t="shared" si="20"/>
        <v>-3.330068560235544E-4</v>
      </c>
      <c r="J596" s="44">
        <v>444.53</v>
      </c>
      <c r="K596" s="44">
        <v>445.96</v>
      </c>
      <c r="L596" s="44">
        <v>441.56</v>
      </c>
      <c r="M596" s="44">
        <v>442.04</v>
      </c>
      <c r="N596" s="44">
        <v>1280739</v>
      </c>
      <c r="O596" s="44" t="s">
        <v>418</v>
      </c>
      <c r="P596" s="25">
        <f t="shared" si="19"/>
        <v>5.6329743914576014E-3</v>
      </c>
    </row>
    <row r="597" spans="2:16">
      <c r="B597" s="44">
        <v>504.88517072495694</v>
      </c>
      <c r="C597" s="44">
        <v>505.14264394084529</v>
      </c>
      <c r="D597" s="44">
        <v>501.56772736639624</v>
      </c>
      <c r="E597" s="44">
        <v>502.20150759012125</v>
      </c>
      <c r="F597" s="44">
        <v>3187903.3210044717</v>
      </c>
      <c r="G597" s="44" t="s">
        <v>419</v>
      </c>
      <c r="H597" s="25">
        <f t="shared" si="20"/>
        <v>5.3437974483860895E-3</v>
      </c>
      <c r="J597" s="44">
        <v>443.76</v>
      </c>
      <c r="K597" s="44">
        <v>445.05</v>
      </c>
      <c r="L597" s="44">
        <v>433.44</v>
      </c>
      <c r="M597" s="44">
        <v>437.94</v>
      </c>
      <c r="N597" s="44">
        <v>1114523</v>
      </c>
      <c r="O597" s="44" t="s">
        <v>419</v>
      </c>
      <c r="P597" s="25">
        <f t="shared" si="19"/>
        <v>1.3289491711193202E-2</v>
      </c>
    </row>
    <row r="598" spans="2:16">
      <c r="B598" s="44">
        <v>501.88461747825875</v>
      </c>
      <c r="C598" s="44">
        <v>502.21141040611695</v>
      </c>
      <c r="D598" s="44">
        <v>499.31978813537154</v>
      </c>
      <c r="E598" s="44">
        <v>499.31978813537154</v>
      </c>
      <c r="F598" s="44">
        <v>2151999.9977022349</v>
      </c>
      <c r="G598" s="44" t="s">
        <v>420</v>
      </c>
      <c r="H598" s="25">
        <f t="shared" si="20"/>
        <v>5.1366467018363338E-3</v>
      </c>
      <c r="J598" s="44">
        <v>434.81</v>
      </c>
      <c r="K598" s="44">
        <v>439</v>
      </c>
      <c r="L598" s="44">
        <v>432.9</v>
      </c>
      <c r="M598" s="44">
        <v>439</v>
      </c>
      <c r="N598" s="44">
        <v>826374</v>
      </c>
      <c r="O598" s="44" t="s">
        <v>420</v>
      </c>
      <c r="P598" s="25">
        <f t="shared" si="19"/>
        <v>-9.5444191343962981E-3</v>
      </c>
    </row>
    <row r="599" spans="2:16">
      <c r="B599" s="44">
        <v>499.62677543123829</v>
      </c>
      <c r="C599" s="44">
        <v>499.70599795920396</v>
      </c>
      <c r="D599" s="44">
        <v>494.75458996135211</v>
      </c>
      <c r="E599" s="44">
        <v>494.83381248931772</v>
      </c>
      <c r="F599" s="44">
        <v>4251399.8056982309</v>
      </c>
      <c r="G599" s="44" t="s">
        <v>421</v>
      </c>
      <c r="H599" s="25">
        <f t="shared" si="20"/>
        <v>9.6860053233003285E-3</v>
      </c>
      <c r="J599" s="44">
        <v>438.81</v>
      </c>
      <c r="K599" s="44">
        <v>439.64330000000001</v>
      </c>
      <c r="L599" s="44">
        <v>432.2</v>
      </c>
      <c r="M599" s="44">
        <v>436.31</v>
      </c>
      <c r="N599" s="44">
        <v>1091594</v>
      </c>
      <c r="O599" s="44" t="s">
        <v>421</v>
      </c>
      <c r="P599" s="25">
        <f t="shared" si="19"/>
        <v>5.7298709633060163E-3</v>
      </c>
    </row>
    <row r="600" spans="2:16">
      <c r="B600" s="44">
        <v>496.40836023263461</v>
      </c>
      <c r="C600" s="44">
        <v>496.8043738443028</v>
      </c>
      <c r="D600" s="44">
        <v>493.75440554578603</v>
      </c>
      <c r="E600" s="44">
        <v>496.6163193685444</v>
      </c>
      <c r="F600" s="44">
        <v>4411397.7295905249</v>
      </c>
      <c r="G600" s="44" t="s">
        <v>422</v>
      </c>
      <c r="H600" s="25">
        <f t="shared" si="20"/>
        <v>-4.1875211868636075E-4</v>
      </c>
      <c r="J600" s="44">
        <v>436.24</v>
      </c>
      <c r="K600" s="44">
        <v>448.1</v>
      </c>
      <c r="L600" s="44">
        <v>433.79</v>
      </c>
      <c r="M600" s="44">
        <v>445.85</v>
      </c>
      <c r="N600" s="44">
        <v>1658861</v>
      </c>
      <c r="O600" s="44" t="s">
        <v>422</v>
      </c>
      <c r="P600" s="25">
        <f t="shared" si="19"/>
        <v>-2.1554334417404952E-2</v>
      </c>
    </row>
    <row r="601" spans="2:16">
      <c r="B601" s="44">
        <v>495.2695363931287</v>
      </c>
      <c r="C601" s="44">
        <v>500.81511335072275</v>
      </c>
      <c r="D601" s="44">
        <v>494.16042100160985</v>
      </c>
      <c r="E601" s="44">
        <v>498.08193613590856</v>
      </c>
      <c r="F601" s="44">
        <v>5653514.1139943674</v>
      </c>
      <c r="G601" s="44" t="s">
        <v>423</v>
      </c>
      <c r="H601" s="25">
        <f t="shared" si="20"/>
        <v>-5.6464600274370724E-3</v>
      </c>
      <c r="J601" s="44">
        <v>444.85</v>
      </c>
      <c r="K601" s="44">
        <v>447.11</v>
      </c>
      <c r="L601" s="44">
        <v>441.49</v>
      </c>
      <c r="M601" s="44">
        <v>444.74</v>
      </c>
      <c r="N601" s="44">
        <v>3106192</v>
      </c>
      <c r="O601" s="44" t="s">
        <v>423</v>
      </c>
      <c r="P601" s="25">
        <f t="shared" si="19"/>
        <v>2.4733552187794494E-4</v>
      </c>
    </row>
    <row r="602" spans="2:16">
      <c r="B602" s="44">
        <v>497.18721671069676</v>
      </c>
      <c r="C602" s="44">
        <v>497.80888575213316</v>
      </c>
      <c r="D602" s="44">
        <v>495.67744903863684</v>
      </c>
      <c r="E602" s="44">
        <v>496.34845689288568</v>
      </c>
      <c r="F602" s="44">
        <v>3668161.832107625</v>
      </c>
      <c r="G602" s="44" t="s">
        <v>424</v>
      </c>
      <c r="H602" s="25">
        <f t="shared" si="20"/>
        <v>1.6898608349902311E-3</v>
      </c>
      <c r="J602" s="44">
        <v>445.11</v>
      </c>
      <c r="K602" s="44">
        <v>445.79</v>
      </c>
      <c r="L602" s="44">
        <v>439.61</v>
      </c>
      <c r="M602" s="44">
        <v>442.1</v>
      </c>
      <c r="N602" s="44">
        <v>1226026</v>
      </c>
      <c r="O602" s="44" t="s">
        <v>424</v>
      </c>
      <c r="P602" s="25">
        <f t="shared" si="19"/>
        <v>6.8084143858855306E-3</v>
      </c>
    </row>
    <row r="603" spans="2:16">
      <c r="B603" s="44">
        <v>496.41753123082304</v>
      </c>
      <c r="C603" s="44">
        <v>497.10827461019687</v>
      </c>
      <c r="D603" s="44">
        <v>494.26635899220179</v>
      </c>
      <c r="E603" s="44">
        <v>494.83868922082587</v>
      </c>
      <c r="F603" s="44">
        <v>3245619.2371071526</v>
      </c>
      <c r="G603" s="44" t="s">
        <v>425</v>
      </c>
      <c r="H603" s="25">
        <f t="shared" si="20"/>
        <v>3.1906195784392466E-3</v>
      </c>
      <c r="J603" s="44">
        <v>442.56</v>
      </c>
      <c r="K603" s="44">
        <v>443.83</v>
      </c>
      <c r="L603" s="44">
        <v>437.71</v>
      </c>
      <c r="M603" s="44">
        <v>441.25</v>
      </c>
      <c r="N603" s="44">
        <v>1360337</v>
      </c>
      <c r="O603" s="44" t="s">
        <v>425</v>
      </c>
      <c r="P603" s="25">
        <f t="shared" si="19"/>
        <v>2.9688385269122097E-3</v>
      </c>
    </row>
    <row r="604" spans="2:16">
      <c r="B604" s="44">
        <v>495.86493652732401</v>
      </c>
      <c r="C604" s="44">
        <v>496.18070492932344</v>
      </c>
      <c r="D604" s="44">
        <v>493.70389652614028</v>
      </c>
      <c r="E604" s="44">
        <v>495.07551552232536</v>
      </c>
      <c r="F604" s="44">
        <v>6421642.1502602752</v>
      </c>
      <c r="G604" s="44" t="s">
        <v>426</v>
      </c>
      <c r="H604" s="25">
        <f t="shared" si="20"/>
        <v>1.5945466504554417E-3</v>
      </c>
      <c r="J604" s="44">
        <v>442.31</v>
      </c>
      <c r="K604" s="44">
        <v>443.81</v>
      </c>
      <c r="L604" s="44">
        <v>430.49</v>
      </c>
      <c r="M604" s="44">
        <v>431.12</v>
      </c>
      <c r="N604" s="44">
        <v>2636985</v>
      </c>
      <c r="O604" s="44" t="s">
        <v>426</v>
      </c>
      <c r="P604" s="25">
        <f t="shared" si="19"/>
        <v>2.5955650398960861E-2</v>
      </c>
    </row>
    <row r="605" spans="2:16">
      <c r="B605" s="44">
        <v>493.81244191432762</v>
      </c>
      <c r="C605" s="44">
        <v>497.76892131375513</v>
      </c>
      <c r="D605" s="44">
        <v>493.81244191432762</v>
      </c>
      <c r="E605" s="44">
        <v>495.39128392432485</v>
      </c>
      <c r="F605" s="44">
        <v>7116956.8131896658</v>
      </c>
      <c r="G605" s="44" t="s">
        <v>427</v>
      </c>
      <c r="H605" s="25">
        <f t="shared" si="20"/>
        <v>-3.1870605342310121E-3</v>
      </c>
      <c r="J605" s="44">
        <v>429.04</v>
      </c>
      <c r="K605" s="44">
        <v>435.7</v>
      </c>
      <c r="L605" s="44">
        <v>426.97</v>
      </c>
      <c r="M605" s="44">
        <v>432.78</v>
      </c>
      <c r="N605" s="44">
        <v>1610409</v>
      </c>
      <c r="O605" s="44" t="s">
        <v>427</v>
      </c>
      <c r="P605" s="25">
        <f t="shared" si="19"/>
        <v>-8.6418041499144449E-3</v>
      </c>
    </row>
    <row r="606" spans="2:16">
      <c r="B606" s="44">
        <v>495.14458986026278</v>
      </c>
      <c r="C606" s="44">
        <v>496.56130453135847</v>
      </c>
      <c r="D606" s="44">
        <v>494.22688794195193</v>
      </c>
      <c r="E606" s="44">
        <v>495.46035826226228</v>
      </c>
      <c r="F606" s="44">
        <v>4406103.1793878563</v>
      </c>
      <c r="G606" s="44" t="s">
        <v>428</v>
      </c>
      <c r="H606" s="25">
        <f t="shared" si="20"/>
        <v>-6.3732324238208182E-4</v>
      </c>
      <c r="J606" s="44">
        <v>432.56</v>
      </c>
      <c r="K606" s="44">
        <v>436.08</v>
      </c>
      <c r="L606" s="44">
        <v>430</v>
      </c>
      <c r="M606" s="44">
        <v>436.08</v>
      </c>
      <c r="N606" s="44">
        <v>2769405</v>
      </c>
      <c r="O606" s="44" t="s">
        <v>428</v>
      </c>
      <c r="P606" s="25">
        <f t="shared" si="19"/>
        <v>-8.0719134103833801E-3</v>
      </c>
    </row>
    <row r="607" spans="2:16">
      <c r="B607" s="44">
        <v>496.23004374213588</v>
      </c>
      <c r="C607" s="44">
        <v>499.05222383500598</v>
      </c>
      <c r="D607" s="44">
        <v>494.56239186907629</v>
      </c>
      <c r="E607" s="44">
        <v>498.46015808125702</v>
      </c>
      <c r="F607" s="44">
        <v>4875337.2099678321</v>
      </c>
      <c r="G607" s="44" t="s">
        <v>429</v>
      </c>
      <c r="H607" s="25">
        <f t="shared" si="20"/>
        <v>-4.4740072059231695E-3</v>
      </c>
      <c r="J607" s="44">
        <v>432.55</v>
      </c>
      <c r="K607" s="44">
        <v>437.2</v>
      </c>
      <c r="L607" s="44">
        <v>428.67</v>
      </c>
      <c r="M607" s="44">
        <v>435.99</v>
      </c>
      <c r="N607" s="44">
        <v>1291429</v>
      </c>
      <c r="O607" s="44" t="s">
        <v>429</v>
      </c>
      <c r="P607" s="25">
        <f t="shared" si="19"/>
        <v>-7.8900892222298902E-3</v>
      </c>
    </row>
    <row r="608" spans="2:16">
      <c r="B608" s="44">
        <v>497.61153050088348</v>
      </c>
      <c r="C608" s="44">
        <v>497.68573607535336</v>
      </c>
      <c r="D608" s="44">
        <v>495.98334967807381</v>
      </c>
      <c r="E608" s="44">
        <v>496.39779570569812</v>
      </c>
      <c r="F608" s="44">
        <v>3477652.5866635391</v>
      </c>
      <c r="G608" s="44" t="s">
        <v>430</v>
      </c>
      <c r="H608" s="25">
        <f t="shared" si="20"/>
        <v>2.4450849816122222E-3</v>
      </c>
      <c r="J608" s="44">
        <v>435</v>
      </c>
      <c r="K608" s="44">
        <v>436.94</v>
      </c>
      <c r="L608" s="44">
        <v>428.75</v>
      </c>
      <c r="M608" s="44">
        <v>429.05</v>
      </c>
      <c r="N608" s="44">
        <v>1384583</v>
      </c>
      <c r="O608" s="44" t="s">
        <v>430</v>
      </c>
      <c r="P608" s="25">
        <f t="shared" si="19"/>
        <v>1.3867847570213199E-2</v>
      </c>
    </row>
    <row r="609" spans="2:16">
      <c r="B609" s="44">
        <v>496.28925031751078</v>
      </c>
      <c r="C609" s="44">
        <v>497.51285287525866</v>
      </c>
      <c r="D609" s="44">
        <v>491.32576574858194</v>
      </c>
      <c r="E609" s="44">
        <v>491.88822821464345</v>
      </c>
      <c r="F609" s="44">
        <v>4671311.2225920837</v>
      </c>
      <c r="G609" s="44" t="s">
        <v>431</v>
      </c>
      <c r="H609" s="25">
        <f t="shared" si="20"/>
        <v>8.9471994864387394E-3</v>
      </c>
      <c r="J609" s="44">
        <v>430</v>
      </c>
      <c r="K609" s="44">
        <v>431.6</v>
      </c>
      <c r="L609" s="44">
        <v>423.58</v>
      </c>
      <c r="M609" s="44">
        <v>425.36</v>
      </c>
      <c r="N609" s="44">
        <v>1125221</v>
      </c>
      <c r="O609" s="44" t="s">
        <v>431</v>
      </c>
      <c r="P609" s="25">
        <f t="shared" si="19"/>
        <v>1.0908406996426478E-2</v>
      </c>
    </row>
    <row r="610" spans="2:16">
      <c r="B610" s="44">
        <v>492.38161634276764</v>
      </c>
      <c r="C610" s="44">
        <v>492.44082291814249</v>
      </c>
      <c r="D610" s="44">
        <v>489.72718821345973</v>
      </c>
      <c r="E610" s="44">
        <v>490.68436118202055</v>
      </c>
      <c r="F610" s="44">
        <v>5889932.9642338268</v>
      </c>
      <c r="G610" s="44" t="s">
        <v>432</v>
      </c>
      <c r="H610" s="25">
        <f t="shared" si="20"/>
        <v>3.4589550738044483E-3</v>
      </c>
      <c r="J610" s="44">
        <v>425.78</v>
      </c>
      <c r="K610" s="44">
        <v>426.315</v>
      </c>
      <c r="L610" s="44">
        <v>413.98</v>
      </c>
      <c r="M610" s="44">
        <v>418.8</v>
      </c>
      <c r="N610" s="44">
        <v>940996</v>
      </c>
      <c r="O610" s="44" t="s">
        <v>432</v>
      </c>
      <c r="P610" s="25">
        <f t="shared" si="19"/>
        <v>1.6666666666666607E-2</v>
      </c>
    </row>
    <row r="611" spans="2:16">
      <c r="B611" s="44">
        <v>491.98690584026826</v>
      </c>
      <c r="C611" s="44">
        <v>492.84540118320427</v>
      </c>
      <c r="D611" s="44">
        <v>489.50022967452264</v>
      </c>
      <c r="E611" s="44">
        <v>492.69738474476708</v>
      </c>
      <c r="F611" s="44">
        <v>8926926.3870325722</v>
      </c>
      <c r="G611" s="44" t="s">
        <v>433</v>
      </c>
      <c r="H611" s="25">
        <f t="shared" si="20"/>
        <v>-1.4420188263569722E-3</v>
      </c>
      <c r="J611" s="44">
        <v>422.9</v>
      </c>
      <c r="K611" s="44">
        <v>428</v>
      </c>
      <c r="L611" s="44">
        <v>422.51</v>
      </c>
      <c r="M611" s="44">
        <v>424.74</v>
      </c>
      <c r="N611" s="44">
        <v>1142897</v>
      </c>
      <c r="O611" s="44" t="s">
        <v>433</v>
      </c>
      <c r="P611" s="25">
        <f t="shared" si="19"/>
        <v>-4.3320619673212768E-3</v>
      </c>
    </row>
    <row r="612" spans="2:16">
      <c r="B612" s="44">
        <v>491.05933615939489</v>
      </c>
      <c r="C612" s="44">
        <v>493.53614456257804</v>
      </c>
      <c r="D612" s="44">
        <v>490.14163424108398</v>
      </c>
      <c r="E612" s="44">
        <v>491.34550127370693</v>
      </c>
      <c r="F612" s="44">
        <v>3748354.2764423308</v>
      </c>
      <c r="G612" s="44" t="s">
        <v>434</v>
      </c>
      <c r="H612" s="25">
        <f t="shared" si="20"/>
        <v>-5.8241118229473976E-4</v>
      </c>
      <c r="J612" s="44">
        <v>428.1</v>
      </c>
      <c r="K612" s="44">
        <v>428.86</v>
      </c>
      <c r="L612" s="44">
        <v>420.86</v>
      </c>
      <c r="M612" s="44">
        <v>421.06</v>
      </c>
      <c r="N612" s="44">
        <v>1251686</v>
      </c>
      <c r="O612" s="44" t="s">
        <v>434</v>
      </c>
      <c r="P612" s="25">
        <f t="shared" si="19"/>
        <v>1.671970740512041E-2</v>
      </c>
    </row>
    <row r="613" spans="2:16">
      <c r="B613" s="44">
        <v>487.00368574621444</v>
      </c>
      <c r="C613" s="44">
        <v>487.13196665952677</v>
      </c>
      <c r="D613" s="44">
        <v>482.64114791734079</v>
      </c>
      <c r="E613" s="44">
        <v>484.49727405534384</v>
      </c>
      <c r="F613" s="44">
        <v>4082407.7134932731</v>
      </c>
      <c r="G613" s="44" t="s">
        <v>435</v>
      </c>
      <c r="H613" s="25">
        <f t="shared" si="20"/>
        <v>5.1732214505386676E-3</v>
      </c>
      <c r="J613" s="44">
        <v>418.78</v>
      </c>
      <c r="K613" s="44">
        <v>420.22</v>
      </c>
      <c r="L613" s="44">
        <v>415.2</v>
      </c>
      <c r="M613" s="44">
        <v>417.04</v>
      </c>
      <c r="N613" s="44">
        <v>907852</v>
      </c>
      <c r="O613" s="44" t="s">
        <v>435</v>
      </c>
      <c r="P613" s="25">
        <f t="shared" si="19"/>
        <v>4.172261653558218E-3</v>
      </c>
    </row>
    <row r="614" spans="2:16">
      <c r="B614" s="44">
        <v>485.89849633921642</v>
      </c>
      <c r="C614" s="44">
        <v>486.17479369096588</v>
      </c>
      <c r="D614" s="44">
        <v>483.08618400890879</v>
      </c>
      <c r="E614" s="44">
        <v>483.68811752522026</v>
      </c>
      <c r="F614" s="44">
        <v>3511659.2824950577</v>
      </c>
      <c r="G614" s="44" t="s">
        <v>436</v>
      </c>
      <c r="H614" s="25">
        <f t="shared" si="20"/>
        <v>4.5698431156537822E-3</v>
      </c>
      <c r="J614" s="44">
        <v>418.38</v>
      </c>
      <c r="K614" s="44">
        <v>419.87</v>
      </c>
      <c r="L614" s="44">
        <v>413.5224</v>
      </c>
      <c r="M614" s="44">
        <v>416.6</v>
      </c>
      <c r="N614" s="44">
        <v>815834</v>
      </c>
      <c r="O614" s="44" t="s">
        <v>436</v>
      </c>
      <c r="P614" s="25">
        <f t="shared" si="19"/>
        <v>4.2726836293807136E-3</v>
      </c>
    </row>
    <row r="615" spans="2:16">
      <c r="B615" s="44">
        <v>484.30978656665667</v>
      </c>
      <c r="C615" s="44">
        <v>487.00368574621444</v>
      </c>
      <c r="D615" s="44">
        <v>483.06644848378386</v>
      </c>
      <c r="E615" s="44">
        <v>484.0630925025946</v>
      </c>
      <c r="F615" s="44">
        <v>3104641.9901181473</v>
      </c>
      <c r="G615" s="44" t="s">
        <v>437</v>
      </c>
      <c r="H615" s="25">
        <f t="shared" si="20"/>
        <v>5.0963204566301101E-4</v>
      </c>
      <c r="J615" s="44">
        <v>417.61</v>
      </c>
      <c r="K615" s="44">
        <v>420.57</v>
      </c>
      <c r="L615" s="44">
        <v>415.8</v>
      </c>
      <c r="M615" s="44">
        <v>418.13</v>
      </c>
      <c r="N615" s="44">
        <v>1199562</v>
      </c>
      <c r="O615" s="44" t="s">
        <v>437</v>
      </c>
      <c r="P615" s="25">
        <f t="shared" si="19"/>
        <v>-1.2436323631406232E-3</v>
      </c>
    </row>
    <row r="616" spans="2:16">
      <c r="B616" s="44">
        <v>484.94132337065554</v>
      </c>
      <c r="C616" s="44">
        <v>485.67153780027928</v>
      </c>
      <c r="D616" s="44">
        <v>483.16522478703428</v>
      </c>
      <c r="E616" s="44">
        <v>485.33603387315486</v>
      </c>
      <c r="F616" s="44">
        <v>21629993.491280023</v>
      </c>
      <c r="G616" s="44" t="s">
        <v>438</v>
      </c>
      <c r="H616" s="25">
        <f t="shared" si="20"/>
        <v>-8.1327260897856579E-4</v>
      </c>
      <c r="J616" s="44">
        <v>418.15</v>
      </c>
      <c r="K616" s="44">
        <v>419.17</v>
      </c>
      <c r="L616" s="44">
        <v>405.08</v>
      </c>
      <c r="M616" s="44">
        <v>413.92</v>
      </c>
      <c r="N616" s="44">
        <v>1733351</v>
      </c>
      <c r="O616" s="44" t="s">
        <v>438</v>
      </c>
      <c r="P616" s="25">
        <f t="shared" si="19"/>
        <v>1.0219366061074542E-2</v>
      </c>
    </row>
    <row r="617" spans="2:16">
      <c r="B617" s="44">
        <v>485.04986875884288</v>
      </c>
      <c r="C617" s="44">
        <v>485.04986875884288</v>
      </c>
      <c r="D617" s="44">
        <v>479.63246711203982</v>
      </c>
      <c r="E617" s="44">
        <v>481.4185321358492</v>
      </c>
      <c r="F617" s="44">
        <v>3066699.244979193</v>
      </c>
      <c r="G617" s="44" t="s">
        <v>439</v>
      </c>
      <c r="H617" s="25">
        <f t="shared" si="20"/>
        <v>7.5429930104331522E-3</v>
      </c>
      <c r="J617" s="44">
        <v>417.24</v>
      </c>
      <c r="K617" s="44">
        <v>418.14</v>
      </c>
      <c r="L617" s="44">
        <v>407.33</v>
      </c>
      <c r="M617" s="44">
        <v>407.72</v>
      </c>
      <c r="N617" s="44">
        <v>2226648</v>
      </c>
      <c r="O617" s="44" t="s">
        <v>439</v>
      </c>
      <c r="P617" s="25">
        <f t="shared" si="19"/>
        <v>2.3349357402138615E-2</v>
      </c>
    </row>
    <row r="618" spans="2:16">
      <c r="B618" s="44">
        <v>479.31669871004038</v>
      </c>
      <c r="C618" s="44">
        <v>479.9778388017267</v>
      </c>
      <c r="D618" s="44">
        <v>476.17875021517079</v>
      </c>
      <c r="E618" s="44">
        <v>477.59970802416836</v>
      </c>
      <c r="F618" s="44">
        <v>2594579.0484806858</v>
      </c>
      <c r="G618" s="44" t="s">
        <v>440</v>
      </c>
      <c r="H618" s="25">
        <f t="shared" si="20"/>
        <v>3.5950413223140298E-3</v>
      </c>
      <c r="J618" s="44">
        <v>406.61</v>
      </c>
      <c r="K618" s="44">
        <v>408.01</v>
      </c>
      <c r="L618" s="44">
        <v>397.47</v>
      </c>
      <c r="M618" s="44">
        <v>402.55</v>
      </c>
      <c r="N618" s="44">
        <v>936150</v>
      </c>
      <c r="O618" s="44" t="s">
        <v>440</v>
      </c>
      <c r="P618" s="25">
        <f t="shared" si="19"/>
        <v>1.0085703639299393E-2</v>
      </c>
    </row>
    <row r="619" spans="2:16">
      <c r="B619" s="44">
        <v>478.73450071885384</v>
      </c>
      <c r="C619" s="44">
        <v>479.9778388017267</v>
      </c>
      <c r="D619" s="44">
        <v>474.04731350167452</v>
      </c>
      <c r="E619" s="44">
        <v>479.86929341353942</v>
      </c>
      <c r="F619" s="44">
        <v>4267690.8502147933</v>
      </c>
      <c r="G619" s="44" t="s">
        <v>441</v>
      </c>
      <c r="H619" s="25">
        <f t="shared" si="20"/>
        <v>-2.3647953937899757E-3</v>
      </c>
      <c r="J619" s="44">
        <v>403.86</v>
      </c>
      <c r="K619" s="44">
        <v>405.33</v>
      </c>
      <c r="L619" s="44">
        <v>398.60250000000002</v>
      </c>
      <c r="M619" s="44">
        <v>402.89</v>
      </c>
      <c r="N619" s="44">
        <v>913144</v>
      </c>
      <c r="O619" s="44" t="s">
        <v>441</v>
      </c>
      <c r="P619" s="25">
        <f t="shared" si="19"/>
        <v>2.4076050534886928E-3</v>
      </c>
    </row>
    <row r="620" spans="2:16">
      <c r="B620" s="44">
        <v>478.21150930304231</v>
      </c>
      <c r="C620" s="44">
        <v>478.49767441735429</v>
      </c>
      <c r="D620" s="44">
        <v>470.17421669590004</v>
      </c>
      <c r="E620" s="44">
        <v>474.87620555692308</v>
      </c>
      <c r="F620" s="44">
        <v>5405451.3028918337</v>
      </c>
      <c r="G620" s="44" t="s">
        <v>442</v>
      </c>
      <c r="H620" s="25">
        <f t="shared" si="20"/>
        <v>7.0235225667028001E-3</v>
      </c>
      <c r="J620" s="44">
        <v>402.12</v>
      </c>
      <c r="K620" s="44">
        <v>408.9</v>
      </c>
      <c r="L620" s="44">
        <v>396.48</v>
      </c>
      <c r="M620" s="44">
        <v>404.94</v>
      </c>
      <c r="N620" s="44">
        <v>1983052</v>
      </c>
      <c r="O620" s="44" t="s">
        <v>442</v>
      </c>
      <c r="P620" s="25">
        <f t="shared" ref="P620:P683" si="21">J620/M620-1</f>
        <v>-6.9639946658763829E-3</v>
      </c>
    </row>
    <row r="621" spans="2:16">
      <c r="B621" s="44">
        <v>474.08678455192444</v>
      </c>
      <c r="C621" s="44">
        <v>476.36663241436048</v>
      </c>
      <c r="D621" s="44">
        <v>472.86318199417656</v>
      </c>
      <c r="E621" s="44">
        <v>475.74456866242156</v>
      </c>
      <c r="F621" s="44">
        <v>3439066.3319184515</v>
      </c>
      <c r="G621" s="44" t="s">
        <v>443</v>
      </c>
      <c r="H621" s="25">
        <f t="shared" si="20"/>
        <v>-3.4846096407533667E-3</v>
      </c>
      <c r="J621" s="44">
        <v>403.39</v>
      </c>
      <c r="K621" s="44">
        <v>412.29</v>
      </c>
      <c r="L621" s="44">
        <v>400.49</v>
      </c>
      <c r="M621" s="44">
        <v>405</v>
      </c>
      <c r="N621" s="44">
        <v>1651082</v>
      </c>
      <c r="O621" s="44" t="s">
        <v>443</v>
      </c>
      <c r="P621" s="25">
        <f t="shared" si="21"/>
        <v>-3.9753086419753725E-3</v>
      </c>
    </row>
    <row r="622" spans="2:16">
      <c r="B622" s="44">
        <v>477.29380738473139</v>
      </c>
      <c r="C622" s="44">
        <v>478.27071587841715</v>
      </c>
      <c r="D622" s="44">
        <v>476.57346071767012</v>
      </c>
      <c r="E622" s="44">
        <v>476.80041925660726</v>
      </c>
      <c r="F622" s="44">
        <v>5680072.8275627885</v>
      </c>
      <c r="G622" s="44" t="s">
        <v>444</v>
      </c>
      <c r="H622" s="25">
        <f t="shared" si="20"/>
        <v>1.0347896272686619E-3</v>
      </c>
      <c r="J622" s="44">
        <v>398.4</v>
      </c>
      <c r="K622" s="44">
        <v>403</v>
      </c>
      <c r="L622" s="44">
        <v>396.15100000000001</v>
      </c>
      <c r="M622" s="44">
        <v>396.59</v>
      </c>
      <c r="N622" s="44">
        <v>958223</v>
      </c>
      <c r="O622" s="44" t="s">
        <v>444</v>
      </c>
      <c r="P622" s="25">
        <f t="shared" si="21"/>
        <v>4.5639073098162619E-3</v>
      </c>
    </row>
    <row r="623" spans="2:16">
      <c r="B623" s="44">
        <v>480.678449943663</v>
      </c>
      <c r="C623" s="44">
        <v>481.19650747819333</v>
      </c>
      <c r="D623" s="44">
        <v>478.11776555869864</v>
      </c>
      <c r="E623" s="44">
        <v>480.95474729541246</v>
      </c>
      <c r="F623" s="44">
        <v>4088785.0457001971</v>
      </c>
      <c r="G623" s="44" t="s">
        <v>445</v>
      </c>
      <c r="H623" s="25">
        <f t="shared" si="20"/>
        <v>-5.7447681575695242E-4</v>
      </c>
      <c r="J623" s="44">
        <v>401.03</v>
      </c>
      <c r="K623" s="44">
        <v>405.99</v>
      </c>
      <c r="L623" s="44">
        <v>398.29</v>
      </c>
      <c r="M623" s="44">
        <v>403.84500000000003</v>
      </c>
      <c r="N623" s="44">
        <v>964207</v>
      </c>
      <c r="O623" s="44" t="s">
        <v>445</v>
      </c>
      <c r="P623" s="25">
        <f t="shared" si="21"/>
        <v>-6.9704961061795023E-3</v>
      </c>
    </row>
    <row r="624" spans="2:16">
      <c r="B624" s="44">
        <v>480.29360720372614</v>
      </c>
      <c r="C624" s="44">
        <v>480.95474729541246</v>
      </c>
      <c r="D624" s="44">
        <v>477.92534418873026</v>
      </c>
      <c r="E624" s="44">
        <v>478.76410400654134</v>
      </c>
      <c r="F624" s="44">
        <v>2589483.6684812554</v>
      </c>
      <c r="G624" s="44" t="s">
        <v>446</v>
      </c>
      <c r="H624" s="25">
        <f t="shared" si="20"/>
        <v>3.1946906302815492E-3</v>
      </c>
      <c r="J624" s="44">
        <v>404.85</v>
      </c>
      <c r="K624" s="44">
        <v>407.33</v>
      </c>
      <c r="L624" s="44">
        <v>397.01</v>
      </c>
      <c r="M624" s="44">
        <v>397.61</v>
      </c>
      <c r="N624" s="44">
        <v>1082160</v>
      </c>
      <c r="O624" s="44" t="s">
        <v>446</v>
      </c>
      <c r="P624" s="25">
        <f t="shared" si="21"/>
        <v>1.8208797565453683E-2</v>
      </c>
    </row>
    <row r="625" spans="2:16">
      <c r="B625" s="44">
        <v>477.04711332066933</v>
      </c>
      <c r="C625" s="44">
        <v>483.51049779909556</v>
      </c>
      <c r="D625" s="44">
        <v>475.9123206259838</v>
      </c>
      <c r="E625" s="44">
        <v>483.43155569859573</v>
      </c>
      <c r="F625" s="44">
        <v>3862382.1518472382</v>
      </c>
      <c r="G625" s="44" t="s">
        <v>447</v>
      </c>
      <c r="H625" s="25">
        <f t="shared" si="20"/>
        <v>-1.320650731767059E-2</v>
      </c>
      <c r="J625" s="44">
        <v>398.39</v>
      </c>
      <c r="K625" s="44">
        <v>405.38</v>
      </c>
      <c r="L625" s="44">
        <v>396.38</v>
      </c>
      <c r="M625" s="44">
        <v>402.47</v>
      </c>
      <c r="N625" s="44">
        <v>1189539</v>
      </c>
      <c r="O625" s="44" t="s">
        <v>447</v>
      </c>
      <c r="P625" s="25">
        <f t="shared" si="21"/>
        <v>-1.0137401545456948E-2</v>
      </c>
    </row>
    <row r="626" spans="2:16">
      <c r="B626" s="44">
        <v>480.6192433682881</v>
      </c>
      <c r="C626" s="44">
        <v>481.97112683934824</v>
      </c>
      <c r="D626" s="44">
        <v>478.52727770504174</v>
      </c>
      <c r="E626" s="44">
        <v>481.33959003534937</v>
      </c>
      <c r="F626" s="44">
        <v>3294141.8882115106</v>
      </c>
      <c r="G626" s="44" t="s">
        <v>448</v>
      </c>
      <c r="H626" s="25">
        <f t="shared" si="20"/>
        <v>-1.4965456446421888E-3</v>
      </c>
      <c r="J626" s="44">
        <v>400.9</v>
      </c>
      <c r="K626" s="44">
        <v>408.43</v>
      </c>
      <c r="L626" s="44">
        <v>399.17</v>
      </c>
      <c r="M626" s="44">
        <v>402.56</v>
      </c>
      <c r="N626" s="44">
        <v>1355669</v>
      </c>
      <c r="O626" s="44" t="s">
        <v>448</v>
      </c>
      <c r="P626" s="25">
        <f t="shared" si="21"/>
        <v>-4.1236089030207701E-3</v>
      </c>
    </row>
    <row r="627" spans="2:16">
      <c r="B627" s="44">
        <v>482.02046565216068</v>
      </c>
      <c r="C627" s="44">
        <v>482.11914327778544</v>
      </c>
      <c r="D627" s="44">
        <v>479.9186322263518</v>
      </c>
      <c r="E627" s="44">
        <v>480.09625195247645</v>
      </c>
      <c r="F627" s="44">
        <v>2486456.2604378862</v>
      </c>
      <c r="G627" s="44" t="s">
        <v>449</v>
      </c>
      <c r="H627" s="25">
        <f t="shared" si="20"/>
        <v>4.0079748422503503E-3</v>
      </c>
      <c r="J627" s="44">
        <v>402.11</v>
      </c>
      <c r="K627" s="44">
        <v>403</v>
      </c>
      <c r="L627" s="44">
        <v>397.1</v>
      </c>
      <c r="M627" s="44">
        <v>400</v>
      </c>
      <c r="N627" s="44">
        <v>1283375</v>
      </c>
      <c r="O627" s="44" t="s">
        <v>449</v>
      </c>
      <c r="P627" s="25">
        <f t="shared" si="21"/>
        <v>5.2750000000001407E-3</v>
      </c>
    </row>
    <row r="628" spans="2:16">
      <c r="B628" s="44">
        <v>480.72778875647543</v>
      </c>
      <c r="C628" s="44">
        <v>482.14864788784729</v>
      </c>
      <c r="D628" s="44">
        <v>480.01730985197662</v>
      </c>
      <c r="E628" s="44">
        <v>480.34294601653852</v>
      </c>
      <c r="F628" s="44">
        <v>2634421.9204094037</v>
      </c>
      <c r="G628" s="44" t="s">
        <v>450</v>
      </c>
      <c r="H628" s="25">
        <f t="shared" si="20"/>
        <v>8.0118328608413947E-4</v>
      </c>
      <c r="J628" s="44">
        <v>400.03</v>
      </c>
      <c r="K628" s="44">
        <v>400.41</v>
      </c>
      <c r="L628" s="44">
        <v>395.6</v>
      </c>
      <c r="M628" s="44">
        <v>398.58</v>
      </c>
      <c r="N628" s="44">
        <v>951293</v>
      </c>
      <c r="O628" s="44" t="s">
        <v>450</v>
      </c>
      <c r="P628" s="25">
        <f t="shared" si="21"/>
        <v>3.6379145968186144E-3</v>
      </c>
    </row>
    <row r="629" spans="2:16">
      <c r="B629" s="44">
        <v>480.25413615347622</v>
      </c>
      <c r="C629" s="44">
        <v>480.29360720372614</v>
      </c>
      <c r="D629" s="44">
        <v>478.29045140354214</v>
      </c>
      <c r="E629" s="44">
        <v>479.66207039972721</v>
      </c>
      <c r="F629" s="44">
        <v>3317910.1941993055</v>
      </c>
      <c r="G629" s="44" t="s">
        <v>451</v>
      </c>
      <c r="H629" s="25">
        <f t="shared" si="20"/>
        <v>1.2343393198790409E-3</v>
      </c>
      <c r="J629" s="44">
        <v>398.82</v>
      </c>
      <c r="K629" s="44">
        <v>398.96</v>
      </c>
      <c r="L629" s="44">
        <v>393.97770000000003</v>
      </c>
      <c r="M629" s="44">
        <v>396.19</v>
      </c>
      <c r="N629" s="44">
        <v>720293</v>
      </c>
      <c r="O629" s="44" t="s">
        <v>451</v>
      </c>
      <c r="P629" s="25">
        <f t="shared" si="21"/>
        <v>6.6382291324869058E-3</v>
      </c>
    </row>
    <row r="630" spans="2:16">
      <c r="B630" s="44">
        <v>479.54365724897747</v>
      </c>
      <c r="C630" s="44">
        <v>482.10927551522298</v>
      </c>
      <c r="D630" s="44">
        <v>479.40550857310268</v>
      </c>
      <c r="E630" s="44">
        <v>480.60937560572563</v>
      </c>
      <c r="F630" s="44">
        <v>3392239.1006110399</v>
      </c>
      <c r="G630" s="44" t="s">
        <v>452</v>
      </c>
      <c r="H630" s="25">
        <f t="shared" si="20"/>
        <v>-2.2174314752079205E-3</v>
      </c>
      <c r="J630" s="44">
        <v>396.43</v>
      </c>
      <c r="K630" s="44">
        <v>401.36</v>
      </c>
      <c r="L630" s="44">
        <v>396.02</v>
      </c>
      <c r="M630" s="44">
        <v>398.28</v>
      </c>
      <c r="N630" s="44">
        <v>1083935</v>
      </c>
      <c r="O630" s="44" t="s">
        <v>452</v>
      </c>
      <c r="P630" s="25">
        <f t="shared" si="21"/>
        <v>-4.6449733855578046E-3</v>
      </c>
    </row>
    <row r="631" spans="2:16">
      <c r="B631" s="44">
        <v>480.46135916728832</v>
      </c>
      <c r="C631" s="44">
        <v>480.78699533185028</v>
      </c>
      <c r="D631" s="44">
        <v>476.35143606001429</v>
      </c>
      <c r="E631" s="44">
        <v>476.94843569504445</v>
      </c>
      <c r="F631" s="44">
        <v>4458442.2984870141</v>
      </c>
      <c r="G631" s="44" t="s">
        <v>453</v>
      </c>
      <c r="H631" s="25">
        <f t="shared" si="20"/>
        <v>7.3654156494393774E-3</v>
      </c>
      <c r="J631" s="44">
        <v>399.39</v>
      </c>
      <c r="K631" s="44">
        <v>399.66</v>
      </c>
      <c r="L631" s="44">
        <v>386</v>
      </c>
      <c r="M631" s="44">
        <v>387.22</v>
      </c>
      <c r="N631" s="44">
        <v>1200770</v>
      </c>
      <c r="O631" s="44" t="s">
        <v>453</v>
      </c>
      <c r="P631" s="25">
        <f t="shared" si="21"/>
        <v>3.1429161716853393E-2</v>
      </c>
    </row>
    <row r="632" spans="2:16">
      <c r="B632" s="44">
        <v>474.67885030567345</v>
      </c>
      <c r="C632" s="44">
        <v>475.10316409586022</v>
      </c>
      <c r="D632" s="44">
        <v>472.15270308967786</v>
      </c>
      <c r="E632" s="44">
        <v>472.646091217802</v>
      </c>
      <c r="F632" s="44">
        <v>3301380.6112297941</v>
      </c>
      <c r="G632" s="44" t="s">
        <v>454</v>
      </c>
      <c r="H632" s="25">
        <f t="shared" si="20"/>
        <v>4.3008058791598192E-3</v>
      </c>
      <c r="J632" s="44">
        <v>384.19</v>
      </c>
      <c r="K632" s="44">
        <v>384.80500000000001</v>
      </c>
      <c r="L632" s="44">
        <v>379.67</v>
      </c>
      <c r="M632" s="44">
        <v>382.4</v>
      </c>
      <c r="N632" s="44">
        <v>913529</v>
      </c>
      <c r="O632" s="44" t="s">
        <v>454</v>
      </c>
      <c r="P632" s="25">
        <f t="shared" si="21"/>
        <v>4.6809623430963399E-3</v>
      </c>
    </row>
    <row r="633" spans="2:16">
      <c r="B633" s="44">
        <v>472.43886820398978</v>
      </c>
      <c r="C633" s="44">
        <v>474.06704902679951</v>
      </c>
      <c r="D633" s="44">
        <v>471.41262089749165</v>
      </c>
      <c r="E633" s="44">
        <v>473.99797468886214</v>
      </c>
      <c r="F633" s="44">
        <v>3150098.0899340655</v>
      </c>
      <c r="G633" s="44" t="s">
        <v>455</v>
      </c>
      <c r="H633" s="25">
        <f t="shared" si="20"/>
        <v>-3.2892682419071173E-3</v>
      </c>
      <c r="J633" s="44">
        <v>380.88</v>
      </c>
      <c r="K633" s="44">
        <v>389.16</v>
      </c>
      <c r="L633" s="44">
        <v>380.65</v>
      </c>
      <c r="M633" s="44">
        <v>389.16</v>
      </c>
      <c r="N633" s="44">
        <v>1070927</v>
      </c>
      <c r="O633" s="44" t="s">
        <v>455</v>
      </c>
      <c r="P633" s="25">
        <f t="shared" si="21"/>
        <v>-2.1276595744680882E-2</v>
      </c>
    </row>
    <row r="634" spans="2:16">
      <c r="B634" s="44">
        <v>472.40926491630239</v>
      </c>
      <c r="C634" s="44">
        <v>474.037445739112</v>
      </c>
      <c r="D634" s="44">
        <v>471.2744722216168</v>
      </c>
      <c r="E634" s="44">
        <v>473.34670235973823</v>
      </c>
      <c r="F634" s="44">
        <v>3392014.1255991319</v>
      </c>
      <c r="G634" s="44" t="s">
        <v>456</v>
      </c>
      <c r="H634" s="25">
        <f t="shared" si="20"/>
        <v>-1.9804457045174972E-3</v>
      </c>
      <c r="J634" s="44">
        <v>386.7</v>
      </c>
      <c r="K634" s="44">
        <v>389.76</v>
      </c>
      <c r="L634" s="44">
        <v>383.88</v>
      </c>
      <c r="M634" s="44">
        <v>385.55</v>
      </c>
      <c r="N634" s="44">
        <v>853114</v>
      </c>
      <c r="O634" s="44" t="s">
        <v>456</v>
      </c>
      <c r="P634" s="25">
        <f t="shared" si="21"/>
        <v>2.9827519128517999E-3</v>
      </c>
    </row>
    <row r="635" spans="2:16">
      <c r="B635" s="44">
        <v>471.82706692511584</v>
      </c>
      <c r="C635" s="44">
        <v>471.82706692511584</v>
      </c>
      <c r="D635" s="44">
        <v>468.65951514255892</v>
      </c>
      <c r="E635" s="44">
        <v>469.30091970912025</v>
      </c>
      <c r="F635" s="44">
        <v>3532765.3841752745</v>
      </c>
      <c r="G635" s="44" t="s">
        <v>457</v>
      </c>
      <c r="H635" s="25">
        <f t="shared" si="20"/>
        <v>5.382787695283664E-3</v>
      </c>
      <c r="J635" s="44">
        <v>385.45</v>
      </c>
      <c r="K635" s="44">
        <v>387.33</v>
      </c>
      <c r="L635" s="44">
        <v>380.69</v>
      </c>
      <c r="M635" s="44">
        <v>381.79</v>
      </c>
      <c r="N635" s="44">
        <v>882194</v>
      </c>
      <c r="O635" s="44" t="s">
        <v>457</v>
      </c>
      <c r="P635" s="25">
        <f t="shared" si="21"/>
        <v>9.5864218549464031E-3</v>
      </c>
    </row>
    <row r="636" spans="2:16">
      <c r="B636" s="44">
        <v>469.13316774555813</v>
      </c>
      <c r="C636" s="44">
        <v>469.56734929830736</v>
      </c>
      <c r="D636" s="44">
        <v>467.2385573335614</v>
      </c>
      <c r="E636" s="44">
        <v>467.3273671966237</v>
      </c>
      <c r="F636" s="44">
        <v>3257960.4339315477</v>
      </c>
      <c r="G636" s="44" t="s">
        <v>458</v>
      </c>
      <c r="H636" s="25">
        <f t="shared" si="20"/>
        <v>3.8641018602589838E-3</v>
      </c>
      <c r="J636" s="44">
        <v>380.37</v>
      </c>
      <c r="K636" s="44">
        <v>386.01</v>
      </c>
      <c r="L636" s="44">
        <v>380.125</v>
      </c>
      <c r="M636" s="44">
        <v>384.93</v>
      </c>
      <c r="N636" s="44">
        <v>1107975</v>
      </c>
      <c r="O636" s="44" t="s">
        <v>458</v>
      </c>
      <c r="P636" s="25">
        <f t="shared" si="21"/>
        <v>-1.1846309718650194E-2</v>
      </c>
    </row>
    <row r="637" spans="2:16">
      <c r="B637" s="44">
        <v>469.11343222043308</v>
      </c>
      <c r="C637" s="44">
        <v>470.33703477818096</v>
      </c>
      <c r="D637" s="44">
        <v>468.43255660362178</v>
      </c>
      <c r="E637" s="44">
        <v>469.40946509730759</v>
      </c>
      <c r="F637" s="44">
        <v>3497552.7412078525</v>
      </c>
      <c r="G637" s="44" t="s">
        <v>459</v>
      </c>
      <c r="H637" s="25">
        <f t="shared" si="20"/>
        <v>-6.3064956905611869E-4</v>
      </c>
      <c r="J637" s="44">
        <v>388.65</v>
      </c>
      <c r="K637" s="44">
        <v>389.78</v>
      </c>
      <c r="L637" s="44">
        <v>383.05</v>
      </c>
      <c r="M637" s="44">
        <v>385.005</v>
      </c>
      <c r="N637" s="44">
        <v>932790</v>
      </c>
      <c r="O637" s="44" t="s">
        <v>459</v>
      </c>
      <c r="P637" s="25">
        <f t="shared" si="21"/>
        <v>9.4674095141620285E-3</v>
      </c>
    </row>
    <row r="638" spans="2:16">
      <c r="B638" s="44">
        <v>468.4424243661843</v>
      </c>
      <c r="C638" s="44">
        <v>468.53123422924665</v>
      </c>
      <c r="D638" s="44">
        <v>465.58077322306428</v>
      </c>
      <c r="E638" s="44">
        <v>465.97548372556361</v>
      </c>
      <c r="F638" s="44">
        <v>4846632.6279304698</v>
      </c>
      <c r="G638" s="44" t="s">
        <v>460</v>
      </c>
      <c r="H638" s="25">
        <f t="shared" si="20"/>
        <v>5.2941425606709558E-3</v>
      </c>
      <c r="J638" s="44">
        <v>383.05</v>
      </c>
      <c r="K638" s="44">
        <v>384.35</v>
      </c>
      <c r="L638" s="44">
        <v>380.6</v>
      </c>
      <c r="M638" s="44">
        <v>382.63</v>
      </c>
      <c r="N638" s="44">
        <v>878194</v>
      </c>
      <c r="O638" s="44" t="s">
        <v>460</v>
      </c>
      <c r="P638" s="25">
        <f t="shared" si="21"/>
        <v>1.0976661526802545E-3</v>
      </c>
    </row>
    <row r="639" spans="2:16">
      <c r="B639" s="44">
        <v>463.76510491156745</v>
      </c>
      <c r="C639" s="44">
        <v>464.77161669294065</v>
      </c>
      <c r="D639" s="44">
        <v>461.25879189832239</v>
      </c>
      <c r="E639" s="44">
        <v>463.54801413519277</v>
      </c>
      <c r="F639" s="44">
        <v>4648327.2889431035</v>
      </c>
      <c r="G639" s="44" t="s">
        <v>461</v>
      </c>
      <c r="H639" s="25">
        <f t="shared" si="20"/>
        <v>4.6832425068132899E-4</v>
      </c>
      <c r="J639" s="44">
        <v>381.36</v>
      </c>
      <c r="K639" s="44">
        <v>384.47</v>
      </c>
      <c r="L639" s="44">
        <v>378.87</v>
      </c>
      <c r="M639" s="44">
        <v>380</v>
      </c>
      <c r="N639" s="44">
        <v>1028858</v>
      </c>
      <c r="O639" s="44" t="s">
        <v>461</v>
      </c>
      <c r="P639" s="25">
        <f t="shared" si="21"/>
        <v>3.5789473684211259E-3</v>
      </c>
    </row>
    <row r="640" spans="2:16">
      <c r="B640" s="44">
        <v>458.08127367557734</v>
      </c>
      <c r="C640" s="44">
        <v>458.80162034263856</v>
      </c>
      <c r="D640" s="44">
        <v>453.08818581896105</v>
      </c>
      <c r="E640" s="44">
        <v>457.23264609520379</v>
      </c>
      <c r="F640" s="44">
        <v>4025658.2734399545</v>
      </c>
      <c r="G640" s="44" t="s">
        <v>462</v>
      </c>
      <c r="H640" s="25">
        <f t="shared" si="20"/>
        <v>1.8560082872929318E-3</v>
      </c>
      <c r="J640" s="44">
        <v>377.65</v>
      </c>
      <c r="K640" s="44">
        <v>377.88</v>
      </c>
      <c r="L640" s="44">
        <v>367.38499999999999</v>
      </c>
      <c r="M640" s="44">
        <v>373.64</v>
      </c>
      <c r="N640" s="44">
        <v>1208612</v>
      </c>
      <c r="O640" s="44" t="s">
        <v>462</v>
      </c>
      <c r="P640" s="25">
        <f t="shared" si="21"/>
        <v>1.0732255647146971E-2</v>
      </c>
    </row>
    <row r="641" spans="2:16">
      <c r="B641" s="44">
        <v>453.84800353627219</v>
      </c>
      <c r="C641" s="44">
        <v>460.89358600588491</v>
      </c>
      <c r="D641" s="44">
        <v>453.36448317071051</v>
      </c>
      <c r="E641" s="44">
        <v>454.67689559152075</v>
      </c>
      <c r="F641" s="44">
        <v>6197328.889175579</v>
      </c>
      <c r="G641" s="44" t="s">
        <v>463</v>
      </c>
      <c r="H641" s="25">
        <f t="shared" si="20"/>
        <v>-1.8230353538641886E-3</v>
      </c>
      <c r="J641" s="44">
        <v>371.7</v>
      </c>
      <c r="K641" s="44">
        <v>379.5</v>
      </c>
      <c r="L641" s="44">
        <v>368.6</v>
      </c>
      <c r="M641" s="44">
        <v>369.57</v>
      </c>
      <c r="N641" s="44">
        <v>952256</v>
      </c>
      <c r="O641" s="44" t="s">
        <v>463</v>
      </c>
      <c r="P641" s="25">
        <f t="shared" si="21"/>
        <v>5.7634548258786999E-3</v>
      </c>
    </row>
    <row r="642" spans="2:16">
      <c r="B642" s="44">
        <v>455.3281679206446</v>
      </c>
      <c r="C642" s="44">
        <v>462.14679185132024</v>
      </c>
      <c r="D642" s="44">
        <v>455.25909358270724</v>
      </c>
      <c r="E642" s="44">
        <v>461.23895769557186</v>
      </c>
      <c r="F642" s="44">
        <v>4423328.9688131372</v>
      </c>
      <c r="G642" s="44" t="s">
        <v>464</v>
      </c>
      <c r="H642" s="25">
        <f t="shared" ref="H642:H705" si="22">B642/E642-1</f>
        <v>-1.2815027170424931E-2</v>
      </c>
      <c r="J642" s="44">
        <v>370.62</v>
      </c>
      <c r="K642" s="44">
        <v>373.68</v>
      </c>
      <c r="L642" s="44">
        <v>368.75</v>
      </c>
      <c r="M642" s="44">
        <v>373.18</v>
      </c>
      <c r="N642" s="44">
        <v>1213211</v>
      </c>
      <c r="O642" s="44" t="s">
        <v>464</v>
      </c>
      <c r="P642" s="25">
        <f t="shared" si="21"/>
        <v>-6.859960340854232E-3</v>
      </c>
    </row>
    <row r="643" spans="2:16">
      <c r="B643" s="44">
        <v>462.64017997944438</v>
      </c>
      <c r="C643" s="44">
        <v>463.21251020806841</v>
      </c>
      <c r="D643" s="44">
        <v>460.04495842551137</v>
      </c>
      <c r="E643" s="44">
        <v>462.64017997944438</v>
      </c>
      <c r="F643" s="44">
        <v>3296801.0523162251</v>
      </c>
      <c r="G643" s="44" t="s">
        <v>465</v>
      </c>
      <c r="H643" s="25">
        <f t="shared" si="22"/>
        <v>0</v>
      </c>
      <c r="J643" s="44">
        <v>374.14</v>
      </c>
      <c r="K643" s="44">
        <v>377.99</v>
      </c>
      <c r="L643" s="44">
        <v>372.06</v>
      </c>
      <c r="M643" s="44">
        <v>375.39</v>
      </c>
      <c r="N643" s="44">
        <v>983225</v>
      </c>
      <c r="O643" s="44" t="s">
        <v>465</v>
      </c>
      <c r="P643" s="25">
        <f t="shared" si="21"/>
        <v>-3.3298702682543757E-3</v>
      </c>
    </row>
    <row r="644" spans="2:16">
      <c r="B644" s="44">
        <v>461.03173468175964</v>
      </c>
      <c r="C644" s="44">
        <v>462.43295696563223</v>
      </c>
      <c r="D644" s="44">
        <v>458.66347166676383</v>
      </c>
      <c r="E644" s="44">
        <v>459.17659532001289</v>
      </c>
      <c r="F644" s="44">
        <v>4972872.9982385458</v>
      </c>
      <c r="G644" s="44" t="s">
        <v>466</v>
      </c>
      <c r="H644" s="25">
        <f t="shared" si="22"/>
        <v>4.0401435540369235E-3</v>
      </c>
      <c r="J644" s="44">
        <v>375.33</v>
      </c>
      <c r="K644" s="44">
        <v>377.83</v>
      </c>
      <c r="L644" s="44">
        <v>368.1</v>
      </c>
      <c r="M644" s="44">
        <v>368.1</v>
      </c>
      <c r="N644" s="44">
        <v>927845</v>
      </c>
      <c r="O644" s="44" t="s">
        <v>466</v>
      </c>
      <c r="P644" s="25">
        <f t="shared" si="21"/>
        <v>1.9641401792990898E-2</v>
      </c>
    </row>
    <row r="645" spans="2:16">
      <c r="B645" s="44">
        <v>456.46296061533013</v>
      </c>
      <c r="C645" s="44">
        <v>457.33132372082861</v>
      </c>
      <c r="D645" s="44">
        <v>451.21331093208926</v>
      </c>
      <c r="E645" s="44">
        <v>452.70334307902419</v>
      </c>
      <c r="F645" s="44">
        <v>4941574.1097575594</v>
      </c>
      <c r="G645" s="44" t="s">
        <v>467</v>
      </c>
      <c r="H645" s="25">
        <f t="shared" si="22"/>
        <v>8.3048150489350991E-3</v>
      </c>
      <c r="J645" s="44">
        <v>373.12</v>
      </c>
      <c r="K645" s="44">
        <v>375.46</v>
      </c>
      <c r="L645" s="44">
        <v>367.66</v>
      </c>
      <c r="M645" s="44">
        <v>374.12</v>
      </c>
      <c r="N645" s="44">
        <v>1262618</v>
      </c>
      <c r="O645" s="44" t="s">
        <v>467</v>
      </c>
      <c r="P645" s="25">
        <f t="shared" si="21"/>
        <v>-2.6729391639046529E-3</v>
      </c>
    </row>
    <row r="646" spans="2:16">
      <c r="B646" s="44">
        <v>458.35757102732686</v>
      </c>
      <c r="C646" s="44">
        <v>460.14363605113624</v>
      </c>
      <c r="D646" s="44">
        <v>456.3248119394554</v>
      </c>
      <c r="E646" s="44">
        <v>459.4134216215125</v>
      </c>
      <c r="F646" s="44">
        <v>7790861.3541524773</v>
      </c>
      <c r="G646" s="44" t="s">
        <v>468</v>
      </c>
      <c r="H646" s="25">
        <f t="shared" si="22"/>
        <v>-2.298258049272861E-3</v>
      </c>
      <c r="J646" s="44">
        <v>375.01</v>
      </c>
      <c r="K646" s="44">
        <v>383.62</v>
      </c>
      <c r="L646" s="44">
        <v>372.83</v>
      </c>
      <c r="M646" s="44">
        <v>374</v>
      </c>
      <c r="N646" s="44">
        <v>1325633</v>
      </c>
      <c r="O646" s="44" t="s">
        <v>468</v>
      </c>
      <c r="P646" s="25">
        <f t="shared" si="21"/>
        <v>2.7005347593582751E-3</v>
      </c>
    </row>
    <row r="647" spans="2:16">
      <c r="B647" s="44">
        <v>458.69307495445122</v>
      </c>
      <c r="C647" s="44">
        <v>458.97924006876326</v>
      </c>
      <c r="D647" s="44">
        <v>454.57821796589593</v>
      </c>
      <c r="E647" s="44">
        <v>455.08147385658253</v>
      </c>
      <c r="F647" s="44">
        <v>4314453.2238611141</v>
      </c>
      <c r="G647" s="44" t="s">
        <v>469</v>
      </c>
      <c r="H647" s="25">
        <f t="shared" si="22"/>
        <v>7.9361637538488683E-3</v>
      </c>
      <c r="J647" s="44">
        <v>377.08</v>
      </c>
      <c r="K647" s="44">
        <v>379.77350000000001</v>
      </c>
      <c r="L647" s="44">
        <v>368.68</v>
      </c>
      <c r="M647" s="44">
        <v>370.88</v>
      </c>
      <c r="N647" s="44">
        <v>1858757</v>
      </c>
      <c r="O647" s="44" t="s">
        <v>469</v>
      </c>
      <c r="P647" s="25">
        <f t="shared" si="21"/>
        <v>1.671699741156174E-2</v>
      </c>
    </row>
    <row r="648" spans="2:16">
      <c r="B648" s="44">
        <v>452.97964043077371</v>
      </c>
      <c r="C648" s="44">
        <v>455.62410211989345</v>
      </c>
      <c r="D648" s="44">
        <v>449.32856828265511</v>
      </c>
      <c r="E648" s="44">
        <v>451.4994760464013</v>
      </c>
      <c r="F648" s="44">
        <v>5896055.932801161</v>
      </c>
      <c r="G648" s="44" t="s">
        <v>470</v>
      </c>
      <c r="H648" s="25">
        <f t="shared" si="22"/>
        <v>3.2783302371326428E-3</v>
      </c>
      <c r="J648" s="44">
        <v>368.93</v>
      </c>
      <c r="K648" s="44">
        <v>371.83</v>
      </c>
      <c r="L648" s="44">
        <v>364.31</v>
      </c>
      <c r="M648" s="44">
        <v>369.54</v>
      </c>
      <c r="N648" s="44">
        <v>1603144</v>
      </c>
      <c r="O648" s="44" t="s">
        <v>470</v>
      </c>
      <c r="P648" s="25">
        <f t="shared" si="21"/>
        <v>-1.6507008713536608E-3</v>
      </c>
    </row>
    <row r="649" spans="2:16">
      <c r="B649" s="44">
        <v>449.08187421859304</v>
      </c>
      <c r="C649" s="44">
        <v>453.85787129883465</v>
      </c>
      <c r="D649" s="44">
        <v>447.89774271109502</v>
      </c>
      <c r="E649" s="44">
        <v>452.92043385539881</v>
      </c>
      <c r="F649" s="44">
        <v>9918615.2261221297</v>
      </c>
      <c r="G649" s="44" t="s">
        <v>471</v>
      </c>
      <c r="H649" s="25">
        <f t="shared" si="22"/>
        <v>-8.4751301771279763E-3</v>
      </c>
      <c r="J649" s="44">
        <v>366.34</v>
      </c>
      <c r="K649" s="44">
        <v>388.65</v>
      </c>
      <c r="L649" s="44">
        <v>364.17</v>
      </c>
      <c r="M649" s="44">
        <v>385.27</v>
      </c>
      <c r="N649" s="44">
        <v>3975892</v>
      </c>
      <c r="O649" s="44" t="s">
        <v>471</v>
      </c>
      <c r="P649" s="25">
        <f t="shared" si="21"/>
        <v>-4.9134373296649159E-2</v>
      </c>
    </row>
    <row r="650" spans="2:16">
      <c r="B650" s="44">
        <v>452.87109504258638</v>
      </c>
      <c r="C650" s="44">
        <v>457.17343951982895</v>
      </c>
      <c r="D650" s="44">
        <v>452.15074837552515</v>
      </c>
      <c r="E650" s="44">
        <v>455.25909358270724</v>
      </c>
      <c r="F650" s="44">
        <v>5712831.0134183131</v>
      </c>
      <c r="G650" s="44" t="s">
        <v>472</v>
      </c>
      <c r="H650" s="25">
        <f t="shared" si="22"/>
        <v>-5.245361539795379E-3</v>
      </c>
      <c r="J650" s="44">
        <v>372.63</v>
      </c>
      <c r="K650" s="44">
        <v>375.3347</v>
      </c>
      <c r="L650" s="44">
        <v>369.15</v>
      </c>
      <c r="M650" s="44">
        <v>372.57</v>
      </c>
      <c r="N650" s="44">
        <v>2320460</v>
      </c>
      <c r="O650" s="44" t="s">
        <v>472</v>
      </c>
      <c r="P650" s="25">
        <f t="shared" si="21"/>
        <v>1.6104356228363592E-4</v>
      </c>
    </row>
    <row r="651" spans="2:16">
      <c r="B651" s="44">
        <v>453.90721011164709</v>
      </c>
      <c r="C651" s="44">
        <v>459.0877854569506</v>
      </c>
      <c r="D651" s="44">
        <v>452.66387202877428</v>
      </c>
      <c r="E651" s="44">
        <v>458.95950454363833</v>
      </c>
      <c r="F651" s="44">
        <v>7252129.2995110629</v>
      </c>
      <c r="G651" s="44" t="s">
        <v>473</v>
      </c>
      <c r="H651" s="25">
        <f t="shared" si="22"/>
        <v>-1.1008148610006319E-2</v>
      </c>
      <c r="J651" s="44">
        <v>374.17</v>
      </c>
      <c r="K651" s="44">
        <v>379.71</v>
      </c>
      <c r="L651" s="44">
        <v>371.14</v>
      </c>
      <c r="M651" s="44">
        <v>378.93</v>
      </c>
      <c r="N651" s="44">
        <v>1625645</v>
      </c>
      <c r="O651" s="44" t="s">
        <v>473</v>
      </c>
      <c r="P651" s="25">
        <f t="shared" si="21"/>
        <v>-1.2561686855091958E-2</v>
      </c>
    </row>
    <row r="652" spans="2:16">
      <c r="B652" s="44">
        <v>456.66031586657977</v>
      </c>
      <c r="C652" s="44">
        <v>459.3542150461376</v>
      </c>
      <c r="D652" s="44">
        <v>455.48605212164432</v>
      </c>
      <c r="E652" s="44">
        <v>457.91352171201515</v>
      </c>
      <c r="F652" s="44">
        <v>6852028.4686488919</v>
      </c>
      <c r="G652" s="44" t="s">
        <v>474</v>
      </c>
      <c r="H652" s="25">
        <f t="shared" si="22"/>
        <v>-2.736774054520108E-3</v>
      </c>
      <c r="J652" s="44">
        <v>378.55</v>
      </c>
      <c r="K652" s="44">
        <v>383.85</v>
      </c>
      <c r="L652" s="44">
        <v>371.54</v>
      </c>
      <c r="M652" s="44">
        <v>376.63</v>
      </c>
      <c r="N652" s="44">
        <v>1602985</v>
      </c>
      <c r="O652" s="44" t="s">
        <v>474</v>
      </c>
      <c r="P652" s="25">
        <f t="shared" si="21"/>
        <v>5.0978413827895697E-3</v>
      </c>
    </row>
    <row r="653" spans="2:16">
      <c r="B653" s="44">
        <v>457.47934015926592</v>
      </c>
      <c r="C653" s="44">
        <v>467.3273671966237</v>
      </c>
      <c r="D653" s="44">
        <v>456.72939020451719</v>
      </c>
      <c r="E653" s="44">
        <v>467.20895404587395</v>
      </c>
      <c r="F653" s="44">
        <v>9657755.6864138376</v>
      </c>
      <c r="G653" s="44" t="s">
        <v>475</v>
      </c>
      <c r="H653" s="25">
        <f t="shared" si="22"/>
        <v>-2.0824973071155495E-2</v>
      </c>
      <c r="J653" s="44">
        <v>377.36</v>
      </c>
      <c r="K653" s="44">
        <v>392.29</v>
      </c>
      <c r="L653" s="44">
        <v>376.33</v>
      </c>
      <c r="M653" s="44">
        <v>392.25</v>
      </c>
      <c r="N653" s="44">
        <v>1650717</v>
      </c>
      <c r="O653" s="44" t="s">
        <v>475</v>
      </c>
      <c r="P653" s="25">
        <f t="shared" si="21"/>
        <v>-3.7960484384958582E-2</v>
      </c>
    </row>
    <row r="654" spans="2:16">
      <c r="B654" s="44">
        <v>463.3605266465056</v>
      </c>
      <c r="C654" s="44">
        <v>467.78128427449792</v>
      </c>
      <c r="D654" s="44">
        <v>461.72247806113353</v>
      </c>
      <c r="E654" s="44">
        <v>466.51821066650012</v>
      </c>
      <c r="F654" s="44">
        <v>7052989.9315381097</v>
      </c>
      <c r="G654" s="44" t="s">
        <v>476</v>
      </c>
      <c r="H654" s="25">
        <f t="shared" si="22"/>
        <v>-6.7686189902066429E-3</v>
      </c>
      <c r="J654" s="44">
        <v>384.8</v>
      </c>
      <c r="K654" s="44">
        <v>388.26</v>
      </c>
      <c r="L654" s="44">
        <v>380.71</v>
      </c>
      <c r="M654" s="44">
        <v>387</v>
      </c>
      <c r="N654" s="44">
        <v>1476001</v>
      </c>
      <c r="O654" s="44" t="s">
        <v>476</v>
      </c>
      <c r="P654" s="25">
        <f t="shared" si="21"/>
        <v>-5.6847545219638196E-3</v>
      </c>
    </row>
    <row r="655" spans="2:16">
      <c r="B655" s="44">
        <v>469.764704549557</v>
      </c>
      <c r="C655" s="44">
        <v>471.11658802061714</v>
      </c>
      <c r="D655" s="44">
        <v>464.44598052837875</v>
      </c>
      <c r="E655" s="44">
        <v>467.71220993656055</v>
      </c>
      <c r="F655" s="44">
        <v>5178378.5510079227</v>
      </c>
      <c r="G655" s="44" t="s">
        <v>477</v>
      </c>
      <c r="H655" s="25">
        <f t="shared" si="22"/>
        <v>4.3883708173340086E-3</v>
      </c>
      <c r="J655" s="44">
        <v>392.26</v>
      </c>
      <c r="K655" s="44">
        <v>392.8</v>
      </c>
      <c r="L655" s="44">
        <v>387.58</v>
      </c>
      <c r="M655" s="44">
        <v>387.58</v>
      </c>
      <c r="N655" s="44">
        <v>1186680</v>
      </c>
      <c r="O655" s="44" t="s">
        <v>477</v>
      </c>
      <c r="P655" s="25">
        <f t="shared" si="21"/>
        <v>1.2074926466793867E-2</v>
      </c>
    </row>
    <row r="656" spans="2:16">
      <c r="B656" s="44">
        <v>466.39979751575032</v>
      </c>
      <c r="C656" s="44">
        <v>468.11678820162234</v>
      </c>
      <c r="D656" s="44">
        <v>464.44598052837875</v>
      </c>
      <c r="E656" s="44">
        <v>465.66958308612664</v>
      </c>
      <c r="F656" s="44">
        <v>7026302.0174002824</v>
      </c>
      <c r="G656" s="44" t="s">
        <v>478</v>
      </c>
      <c r="H656" s="25">
        <f t="shared" si="22"/>
        <v>1.5680956114512146E-3</v>
      </c>
      <c r="J656" s="44">
        <v>388.46</v>
      </c>
      <c r="K656" s="44">
        <v>391.46</v>
      </c>
      <c r="L656" s="44">
        <v>385.51</v>
      </c>
      <c r="M656" s="44">
        <v>387.16</v>
      </c>
      <c r="N656" s="44">
        <v>1198861</v>
      </c>
      <c r="O656" s="44" t="s">
        <v>478</v>
      </c>
      <c r="P656" s="25">
        <f t="shared" si="21"/>
        <v>3.3577848951336087E-3</v>
      </c>
    </row>
    <row r="657" spans="2:16">
      <c r="B657" s="44">
        <v>470.95870381961737</v>
      </c>
      <c r="C657" s="44">
        <v>472.27111624042766</v>
      </c>
      <c r="D657" s="44">
        <v>466.48860737881267</v>
      </c>
      <c r="E657" s="44">
        <v>472.05402546405298</v>
      </c>
      <c r="F657" s="44">
        <v>5324602.174738585</v>
      </c>
      <c r="G657" s="44" t="s">
        <v>479</v>
      </c>
      <c r="H657" s="25">
        <f t="shared" si="22"/>
        <v>-2.3203311175217234E-3</v>
      </c>
      <c r="J657" s="44">
        <v>390.96</v>
      </c>
      <c r="K657" s="44">
        <v>391.18</v>
      </c>
      <c r="L657" s="44">
        <v>383.81</v>
      </c>
      <c r="M657" s="44">
        <v>389.95</v>
      </c>
      <c r="N657" s="44">
        <v>1120631</v>
      </c>
      <c r="O657" s="44" t="s">
        <v>479</v>
      </c>
      <c r="P657" s="25">
        <f t="shared" si="21"/>
        <v>2.5900756507244438E-3</v>
      </c>
    </row>
    <row r="658" spans="2:16">
      <c r="B658" s="44">
        <v>470.37650582843094</v>
      </c>
      <c r="C658" s="44">
        <v>471.74812482461601</v>
      </c>
      <c r="D658" s="44">
        <v>469.67589468649464</v>
      </c>
      <c r="E658" s="44">
        <v>470.84029066886757</v>
      </c>
      <c r="F658" s="44">
        <v>4800255.3466468742</v>
      </c>
      <c r="G658" s="44" t="s">
        <v>480</v>
      </c>
      <c r="H658" s="25">
        <f t="shared" si="22"/>
        <v>-9.8501519438320972E-4</v>
      </c>
      <c r="J658" s="44">
        <v>386.93</v>
      </c>
      <c r="K658" s="44">
        <v>389.88499999999999</v>
      </c>
      <c r="L658" s="44">
        <v>383.04</v>
      </c>
      <c r="M658" s="44">
        <v>388.39</v>
      </c>
      <c r="N658" s="44">
        <v>947434</v>
      </c>
      <c r="O658" s="44" t="s">
        <v>480</v>
      </c>
      <c r="P658" s="25">
        <f t="shared" si="21"/>
        <v>-3.7591081129791926E-3</v>
      </c>
    </row>
    <row r="659" spans="2:16">
      <c r="B659" s="44">
        <v>470.18901833974377</v>
      </c>
      <c r="C659" s="44">
        <v>472.00468665124055</v>
      </c>
      <c r="D659" s="44">
        <v>466.17283897681324</v>
      </c>
      <c r="E659" s="44">
        <v>466.59715276700001</v>
      </c>
      <c r="F659" s="44">
        <v>5663046.6781255519</v>
      </c>
      <c r="G659" s="44" t="s">
        <v>481</v>
      </c>
      <c r="H659" s="25">
        <f t="shared" si="22"/>
        <v>7.6980014803849084E-3</v>
      </c>
      <c r="J659" s="44">
        <v>388.39</v>
      </c>
      <c r="K659" s="44">
        <v>393.66</v>
      </c>
      <c r="L659" s="44">
        <v>379.24</v>
      </c>
      <c r="M659" s="44">
        <v>381.12</v>
      </c>
      <c r="N659" s="44">
        <v>1404465</v>
      </c>
      <c r="O659" s="44" t="s">
        <v>481</v>
      </c>
      <c r="P659" s="25">
        <f t="shared" si="21"/>
        <v>1.9075356842989111E-2</v>
      </c>
    </row>
    <row r="660" spans="2:16">
      <c r="B660" s="44">
        <v>465.24526929593986</v>
      </c>
      <c r="C660" s="44">
        <v>475.11303185842269</v>
      </c>
      <c r="D660" s="44">
        <v>465.03804628212771</v>
      </c>
      <c r="E660" s="44">
        <v>474.83673450667311</v>
      </c>
      <c r="F660" s="44">
        <v>6963270.5048297672</v>
      </c>
      <c r="G660" s="44" t="s">
        <v>482</v>
      </c>
      <c r="H660" s="25">
        <f t="shared" si="22"/>
        <v>-2.0199501246882634E-2</v>
      </c>
      <c r="J660" s="44">
        <v>378.92</v>
      </c>
      <c r="K660" s="44">
        <v>389.02499999999998</v>
      </c>
      <c r="L660" s="44">
        <v>378.62</v>
      </c>
      <c r="M660" s="44">
        <v>387.76</v>
      </c>
      <c r="N660" s="44">
        <v>1603036</v>
      </c>
      <c r="O660" s="44" t="s">
        <v>482</v>
      </c>
      <c r="P660" s="25">
        <f t="shared" si="21"/>
        <v>-2.279760676707232E-2</v>
      </c>
    </row>
    <row r="661" spans="2:16">
      <c r="B661" s="44">
        <v>471.04751368267978</v>
      </c>
      <c r="C661" s="44">
        <v>472.47044504418977</v>
      </c>
      <c r="D661" s="44">
        <v>469.49827496036994</v>
      </c>
      <c r="E661" s="44">
        <v>469.54761377318232</v>
      </c>
      <c r="F661" s="44">
        <v>6308230.4226357285</v>
      </c>
      <c r="G661" s="44" t="s">
        <v>483</v>
      </c>
      <c r="H661" s="25">
        <f t="shared" si="22"/>
        <v>3.194351042367316E-3</v>
      </c>
      <c r="J661" s="44">
        <v>383.42</v>
      </c>
      <c r="K661" s="44">
        <v>388.29</v>
      </c>
      <c r="L661" s="44">
        <v>382.22</v>
      </c>
      <c r="M661" s="44">
        <v>383.77</v>
      </c>
      <c r="N661" s="44">
        <v>1634337</v>
      </c>
      <c r="O661" s="44" t="s">
        <v>483</v>
      </c>
      <c r="P661" s="25">
        <f t="shared" si="21"/>
        <v>-9.1200458608009516E-4</v>
      </c>
    </row>
    <row r="662" spans="2:16">
      <c r="B662" s="44">
        <v>470.62319989249301</v>
      </c>
      <c r="C662" s="44">
        <v>470.68240646786791</v>
      </c>
      <c r="D662" s="44">
        <v>468.43255660362178</v>
      </c>
      <c r="E662" s="44">
        <v>470.03113413874399</v>
      </c>
      <c r="F662" s="44">
        <v>4882385.4136066614</v>
      </c>
      <c r="G662" s="44" t="s">
        <v>484</v>
      </c>
      <c r="H662" s="25">
        <f t="shared" si="22"/>
        <v>1.259630928138078E-3</v>
      </c>
      <c r="J662" s="44">
        <v>382.36</v>
      </c>
      <c r="K662" s="44">
        <v>391.99</v>
      </c>
      <c r="L662" s="44">
        <v>380.51</v>
      </c>
      <c r="M662" s="44">
        <v>391.99</v>
      </c>
      <c r="N662" s="44">
        <v>2334124</v>
      </c>
      <c r="O662" s="44" t="s">
        <v>484</v>
      </c>
      <c r="P662" s="25">
        <f t="shared" si="21"/>
        <v>-2.4566953238603029E-2</v>
      </c>
    </row>
    <row r="663" spans="2:16">
      <c r="B663" s="44">
        <v>473.72167733711257</v>
      </c>
      <c r="C663" s="44">
        <v>475.58668446142184</v>
      </c>
      <c r="D663" s="44">
        <v>472.49807477936469</v>
      </c>
      <c r="E663" s="44">
        <v>475.07356080817272</v>
      </c>
      <c r="F663" s="44">
        <v>5810800.5372975701</v>
      </c>
      <c r="G663" s="44" t="s">
        <v>485</v>
      </c>
      <c r="H663" s="25">
        <f t="shared" si="22"/>
        <v>-2.8456297773347128E-3</v>
      </c>
      <c r="J663" s="44">
        <v>394.87</v>
      </c>
      <c r="K663" s="44">
        <v>399.64</v>
      </c>
      <c r="L663" s="44">
        <v>392.22</v>
      </c>
      <c r="M663" s="44">
        <v>399</v>
      </c>
      <c r="N663" s="44">
        <v>1159879</v>
      </c>
      <c r="O663" s="44" t="s">
        <v>485</v>
      </c>
      <c r="P663" s="25">
        <f t="shared" si="21"/>
        <v>-1.0350877192982444E-2</v>
      </c>
    </row>
    <row r="664" spans="2:16">
      <c r="B664" s="44">
        <v>474.34334637854897</v>
      </c>
      <c r="C664" s="44">
        <v>475.78384235742027</v>
      </c>
      <c r="D664" s="44">
        <v>474.14934616657058</v>
      </c>
      <c r="E664" s="44">
        <v>474.51109834211121</v>
      </c>
      <c r="F664" s="44">
        <v>4119493.1214246862</v>
      </c>
      <c r="G664" s="44" t="s">
        <v>486</v>
      </c>
      <c r="H664" s="25">
        <f t="shared" si="22"/>
        <v>-3.5352590097126324E-4</v>
      </c>
      <c r="J664" s="44">
        <v>399.09</v>
      </c>
      <c r="K664" s="44">
        <v>402.5</v>
      </c>
      <c r="L664" s="44">
        <v>397.06</v>
      </c>
      <c r="M664" s="44">
        <v>401.45</v>
      </c>
      <c r="N664" s="44">
        <v>1124780</v>
      </c>
      <c r="O664" s="44" t="s">
        <v>486</v>
      </c>
      <c r="P664" s="25">
        <f t="shared" si="21"/>
        <v>-5.8786897496575508E-3</v>
      </c>
    </row>
    <row r="665" spans="2:16">
      <c r="B665" s="44">
        <v>474.40255295392387</v>
      </c>
      <c r="C665" s="44">
        <v>474.51109834211121</v>
      </c>
      <c r="D665" s="44">
        <v>471.13632354574207</v>
      </c>
      <c r="E665" s="44">
        <v>473.16908263361353</v>
      </c>
      <c r="F665" s="44">
        <v>5017782.8749399669</v>
      </c>
      <c r="G665" s="44" t="s">
        <v>487</v>
      </c>
      <c r="H665" s="25">
        <f t="shared" si="22"/>
        <v>2.6068278033826164E-3</v>
      </c>
      <c r="J665" s="44">
        <v>400.1</v>
      </c>
      <c r="K665" s="44">
        <v>403.75900000000001</v>
      </c>
      <c r="L665" s="44">
        <v>397.5</v>
      </c>
      <c r="M665" s="44">
        <v>403.02</v>
      </c>
      <c r="N665" s="44">
        <v>1374665</v>
      </c>
      <c r="O665" s="44" t="s">
        <v>487</v>
      </c>
      <c r="P665" s="25">
        <f t="shared" si="21"/>
        <v>-7.2452980000990985E-3</v>
      </c>
    </row>
    <row r="666" spans="2:16">
      <c r="B666" s="44">
        <v>470.29756372793105</v>
      </c>
      <c r="C666" s="44">
        <v>473.0309339577388</v>
      </c>
      <c r="D666" s="44">
        <v>470.12981176436887</v>
      </c>
      <c r="E666" s="44">
        <v>472.72503331830183</v>
      </c>
      <c r="F666" s="44">
        <v>8181694.6332853744</v>
      </c>
      <c r="G666" s="44" t="s">
        <v>488</v>
      </c>
      <c r="H666" s="25">
        <f t="shared" si="22"/>
        <v>-5.1350561516302351E-3</v>
      </c>
      <c r="J666" s="44">
        <v>397.63</v>
      </c>
      <c r="K666" s="44">
        <v>399.5625</v>
      </c>
      <c r="L666" s="44">
        <v>392.28500000000003</v>
      </c>
      <c r="M666" s="44">
        <v>394.37</v>
      </c>
      <c r="N666" s="44">
        <v>1543001</v>
      </c>
      <c r="O666" s="44" t="s">
        <v>488</v>
      </c>
      <c r="P666" s="25">
        <f t="shared" si="21"/>
        <v>8.2663488602074953E-3</v>
      </c>
    </row>
    <row r="667" spans="2:16">
      <c r="B667" s="44">
        <v>471.61984391130375</v>
      </c>
      <c r="C667" s="44">
        <v>472.45860372911483</v>
      </c>
      <c r="D667" s="44">
        <v>471.23500117136695</v>
      </c>
      <c r="E667" s="44">
        <v>471.41262089749165</v>
      </c>
      <c r="F667" s="44">
        <v>6162771.9166257447</v>
      </c>
      <c r="G667" s="44" t="s">
        <v>489</v>
      </c>
      <c r="H667" s="25">
        <f t="shared" si="22"/>
        <v>4.3957884160494842E-4</v>
      </c>
      <c r="J667" s="44">
        <v>391.71</v>
      </c>
      <c r="K667" s="44">
        <v>396.9</v>
      </c>
      <c r="L667" s="44">
        <v>390.5</v>
      </c>
      <c r="M667" s="44">
        <v>393.59</v>
      </c>
      <c r="N667" s="44">
        <v>1117411</v>
      </c>
      <c r="O667" s="44" t="s">
        <v>489</v>
      </c>
      <c r="P667" s="25">
        <f t="shared" si="21"/>
        <v>-4.7765441195152247E-3</v>
      </c>
    </row>
    <row r="668" spans="2:16">
      <c r="B668" s="44">
        <v>472.84344646905163</v>
      </c>
      <c r="C668" s="44">
        <v>473.96837140117464</v>
      </c>
      <c r="D668" s="44">
        <v>472.48820701680222</v>
      </c>
      <c r="E668" s="44">
        <v>473.52432208586293</v>
      </c>
      <c r="F668" s="44">
        <v>5960320.7543333527</v>
      </c>
      <c r="G668" s="44" t="s">
        <v>490</v>
      </c>
      <c r="H668" s="25">
        <f t="shared" si="22"/>
        <v>-1.4378894283868515E-3</v>
      </c>
      <c r="J668" s="44">
        <v>394.07</v>
      </c>
      <c r="K668" s="44">
        <v>394.51</v>
      </c>
      <c r="L668" s="44">
        <v>387.17</v>
      </c>
      <c r="M668" s="44">
        <v>392.45</v>
      </c>
      <c r="N668" s="44">
        <v>1562713</v>
      </c>
      <c r="O668" s="44" t="s">
        <v>490</v>
      </c>
      <c r="P668" s="25">
        <f t="shared" si="21"/>
        <v>4.1279143839980659E-3</v>
      </c>
    </row>
    <row r="669" spans="2:16">
      <c r="B669" s="44">
        <v>473.46225385934514</v>
      </c>
      <c r="C669" s="44">
        <v>475.31636489814201</v>
      </c>
      <c r="D669" s="44">
        <v>473.32454799969969</v>
      </c>
      <c r="E669" s="44">
        <v>474.71144272898545</v>
      </c>
      <c r="F669" s="44">
        <v>5128722.9303001203</v>
      </c>
      <c r="G669" s="44" t="s">
        <v>491</v>
      </c>
      <c r="H669" s="25">
        <f t="shared" si="22"/>
        <v>-2.6314698934979397E-3</v>
      </c>
      <c r="J669" s="44">
        <v>391.96</v>
      </c>
      <c r="K669" s="44">
        <v>397</v>
      </c>
      <c r="L669" s="44">
        <v>391.93</v>
      </c>
      <c r="M669" s="44">
        <v>394</v>
      </c>
      <c r="N669" s="44">
        <v>920837</v>
      </c>
      <c r="O669" s="44" t="s">
        <v>491</v>
      </c>
      <c r="P669" s="25">
        <f t="shared" si="21"/>
        <v>-5.1776649746193559E-3</v>
      </c>
    </row>
    <row r="670" spans="2:16">
      <c r="B670" s="44">
        <v>471.88847260625494</v>
      </c>
      <c r="C670" s="44">
        <v>472.1540481927139</v>
      </c>
      <c r="D670" s="44">
        <v>467.14745658132085</v>
      </c>
      <c r="E670" s="44">
        <v>467.74746068406148</v>
      </c>
      <c r="F670" s="44">
        <v>6282302.3089051498</v>
      </c>
      <c r="G670" s="44" t="s">
        <v>492</v>
      </c>
      <c r="H670" s="25">
        <f t="shared" si="22"/>
        <v>8.8530933254824529E-3</v>
      </c>
      <c r="J670" s="44">
        <v>390.37</v>
      </c>
      <c r="K670" s="44">
        <v>390.67</v>
      </c>
      <c r="L670" s="44">
        <v>384.4</v>
      </c>
      <c r="M670" s="44">
        <v>390.39</v>
      </c>
      <c r="N670" s="44">
        <v>930134</v>
      </c>
      <c r="O670" s="44" t="s">
        <v>492</v>
      </c>
      <c r="P670" s="25">
        <f t="shared" si="21"/>
        <v>-5.1230820461545257E-5</v>
      </c>
    </row>
    <row r="671" spans="2:16">
      <c r="B671" s="44">
        <v>467.80647748105235</v>
      </c>
      <c r="C671" s="44">
        <v>467.94418334069775</v>
      </c>
      <c r="D671" s="44">
        <v>463.56710423054074</v>
      </c>
      <c r="E671" s="44">
        <v>464.46219231823574</v>
      </c>
      <c r="F671" s="44">
        <v>4626053.8341683242</v>
      </c>
      <c r="G671" s="44" t="s">
        <v>493</v>
      </c>
      <c r="H671" s="25">
        <f t="shared" si="22"/>
        <v>7.2003388394747958E-3</v>
      </c>
      <c r="J671" s="44">
        <v>390.53</v>
      </c>
      <c r="K671" s="44">
        <v>392.58</v>
      </c>
      <c r="L671" s="44">
        <v>381.77</v>
      </c>
      <c r="M671" s="44">
        <v>391.99</v>
      </c>
      <c r="N671" s="44">
        <v>1610816</v>
      </c>
      <c r="O671" s="44" t="s">
        <v>493</v>
      </c>
      <c r="P671" s="25">
        <f t="shared" si="21"/>
        <v>-3.7245848108371504E-3</v>
      </c>
    </row>
    <row r="672" spans="2:16">
      <c r="B672" s="44">
        <v>465.1999022806217</v>
      </c>
      <c r="C672" s="44">
        <v>467.49073761715113</v>
      </c>
      <c r="D672" s="44">
        <v>464.75727630319011</v>
      </c>
      <c r="E672" s="44">
        <v>466.1835155638031</v>
      </c>
      <c r="F672" s="44">
        <v>4004729.366056887</v>
      </c>
      <c r="G672" s="44" t="s">
        <v>494</v>
      </c>
      <c r="H672" s="25">
        <f t="shared" si="22"/>
        <v>-2.1099272075114639E-3</v>
      </c>
      <c r="J672" s="44">
        <v>392.62</v>
      </c>
      <c r="K672" s="44">
        <v>401.27</v>
      </c>
      <c r="L672" s="44">
        <v>390.79</v>
      </c>
      <c r="M672" s="44">
        <v>399.6</v>
      </c>
      <c r="N672" s="44">
        <v>1654503</v>
      </c>
      <c r="O672" s="44" t="s">
        <v>494</v>
      </c>
      <c r="P672" s="25">
        <f t="shared" si="21"/>
        <v>-1.7467467467467523E-2</v>
      </c>
    </row>
    <row r="673" spans="2:16">
      <c r="B673" s="44">
        <v>462.30807922806855</v>
      </c>
      <c r="C673" s="44">
        <v>464.05045179789602</v>
      </c>
      <c r="D673" s="44">
        <v>461.03931645409295</v>
      </c>
      <c r="E673" s="44">
        <v>462.70152454134114</v>
      </c>
      <c r="F673" s="44">
        <v>6920491.128366488</v>
      </c>
      <c r="G673" s="44" t="s">
        <v>495</v>
      </c>
      <c r="H673" s="25">
        <f t="shared" si="22"/>
        <v>-8.5032205948010198E-4</v>
      </c>
      <c r="J673" s="44">
        <v>396.28</v>
      </c>
      <c r="K673" s="44">
        <v>398.16</v>
      </c>
      <c r="L673" s="44">
        <v>382.63</v>
      </c>
      <c r="M673" s="44">
        <v>398.16</v>
      </c>
      <c r="N673" s="44">
        <v>3906792</v>
      </c>
      <c r="O673" s="44" t="s">
        <v>495</v>
      </c>
      <c r="P673" s="25">
        <f t="shared" si="21"/>
        <v>-4.721719911593425E-3</v>
      </c>
    </row>
    <row r="674" spans="2:16">
      <c r="B674" s="44">
        <v>465.51465853123977</v>
      </c>
      <c r="C674" s="44">
        <v>467.53598382817745</v>
      </c>
      <c r="D674" s="44">
        <v>462.74086907266832</v>
      </c>
      <c r="E674" s="44">
        <v>467.37368763645253</v>
      </c>
      <c r="F674" s="44">
        <v>5238827.1774181742</v>
      </c>
      <c r="G674" s="44" t="s">
        <v>496</v>
      </c>
      <c r="H674" s="25">
        <f t="shared" si="22"/>
        <v>-3.9776075427224722E-3</v>
      </c>
      <c r="J674" s="44">
        <v>384.31</v>
      </c>
      <c r="K674" s="44">
        <v>384.43</v>
      </c>
      <c r="L674" s="44">
        <v>376.6</v>
      </c>
      <c r="M674" s="44">
        <v>383.23</v>
      </c>
      <c r="N674" s="44">
        <v>1413037</v>
      </c>
      <c r="O674" s="44" t="s">
        <v>496</v>
      </c>
      <c r="P674" s="25">
        <f t="shared" si="21"/>
        <v>2.8181509798292925E-3</v>
      </c>
    </row>
    <row r="675" spans="2:16">
      <c r="B675" s="44">
        <v>466.5376163457484</v>
      </c>
      <c r="C675" s="44">
        <v>467.67860775423878</v>
      </c>
      <c r="D675" s="44">
        <v>465.15072161646265</v>
      </c>
      <c r="E675" s="44">
        <v>467.52122962892975</v>
      </c>
      <c r="F675" s="44">
        <v>3603576.792431822</v>
      </c>
      <c r="G675" s="44" t="s">
        <v>497</v>
      </c>
      <c r="H675" s="25">
        <f t="shared" si="22"/>
        <v>-2.1038900927815574E-3</v>
      </c>
      <c r="J675" s="44">
        <v>382.99</v>
      </c>
      <c r="K675" s="44">
        <v>390.69</v>
      </c>
      <c r="L675" s="44">
        <v>380.98500000000001</v>
      </c>
      <c r="M675" s="44">
        <v>389.67</v>
      </c>
      <c r="N675" s="44">
        <v>1447955</v>
      </c>
      <c r="O675" s="44" t="s">
        <v>497</v>
      </c>
      <c r="P675" s="25">
        <f t="shared" si="21"/>
        <v>-1.7142710498627034E-2</v>
      </c>
    </row>
    <row r="676" spans="2:16">
      <c r="B676" s="44">
        <v>467.2458179096389</v>
      </c>
      <c r="C676" s="44">
        <v>467.75729681689324</v>
      </c>
      <c r="D676" s="44">
        <v>461.87528938346873</v>
      </c>
      <c r="E676" s="44">
        <v>464.18678059894495</v>
      </c>
      <c r="F676" s="44">
        <v>4891186.4878841415</v>
      </c>
      <c r="G676" s="44" t="s">
        <v>498</v>
      </c>
      <c r="H676" s="25">
        <f t="shared" si="22"/>
        <v>6.5901000169519275E-3</v>
      </c>
      <c r="J676" s="44">
        <v>389.4</v>
      </c>
      <c r="K676" s="44">
        <v>390.255</v>
      </c>
      <c r="L676" s="44">
        <v>378.52</v>
      </c>
      <c r="M676" s="44">
        <v>378.9</v>
      </c>
      <c r="N676" s="44">
        <v>1446493</v>
      </c>
      <c r="O676" s="44" t="s">
        <v>498</v>
      </c>
      <c r="P676" s="25">
        <f t="shared" si="21"/>
        <v>2.7711797307996777E-2</v>
      </c>
    </row>
    <row r="677" spans="2:16">
      <c r="B677" s="44">
        <v>462.29824309523673</v>
      </c>
      <c r="C677" s="44">
        <v>462.74578713908426</v>
      </c>
      <c r="D677" s="44">
        <v>459.73101242613342</v>
      </c>
      <c r="E677" s="44">
        <v>461.51135246869165</v>
      </c>
      <c r="F677" s="44">
        <v>5412560.0894497139</v>
      </c>
      <c r="G677" s="44" t="s">
        <v>499</v>
      </c>
      <c r="H677" s="25">
        <f t="shared" si="22"/>
        <v>1.7050298380221207E-3</v>
      </c>
      <c r="J677" s="44">
        <v>378.9</v>
      </c>
      <c r="K677" s="44">
        <v>391</v>
      </c>
      <c r="L677" s="44">
        <v>377.44</v>
      </c>
      <c r="M677" s="44">
        <v>391</v>
      </c>
      <c r="N677" s="44">
        <v>1602471</v>
      </c>
      <c r="O677" s="44" t="s">
        <v>499</v>
      </c>
      <c r="P677" s="25">
        <f t="shared" si="21"/>
        <v>-3.0946291560102313E-2</v>
      </c>
    </row>
    <row r="678" spans="2:16">
      <c r="B678" s="44">
        <v>462.68185227567744</v>
      </c>
      <c r="C678" s="44">
        <v>468.49441661130936</v>
      </c>
      <c r="D678" s="44">
        <v>462.1211927042641</v>
      </c>
      <c r="E678" s="44">
        <v>466.00646517283042</v>
      </c>
      <c r="F678" s="44">
        <v>6390341.7201423468</v>
      </c>
      <c r="G678" s="44" t="s">
        <v>500</v>
      </c>
      <c r="H678" s="25">
        <f t="shared" si="22"/>
        <v>-7.1342634611731848E-3</v>
      </c>
      <c r="J678" s="44">
        <v>391.85</v>
      </c>
      <c r="K678" s="44">
        <v>395.93</v>
      </c>
      <c r="L678" s="44">
        <v>390.79</v>
      </c>
      <c r="M678" s="44">
        <v>392.02</v>
      </c>
      <c r="N678" s="44">
        <v>1737950</v>
      </c>
      <c r="O678" s="44" t="s">
        <v>500</v>
      </c>
      <c r="P678" s="25">
        <f t="shared" si="21"/>
        <v>-4.3365134431905261E-4</v>
      </c>
    </row>
    <row r="679" spans="2:16">
      <c r="B679" s="44">
        <v>465.50482239840795</v>
      </c>
      <c r="C679" s="44">
        <v>466.4195827517666</v>
      </c>
      <c r="D679" s="44">
        <v>463.06546145611816</v>
      </c>
      <c r="E679" s="44">
        <v>463.90153274682234</v>
      </c>
      <c r="F679" s="44">
        <v>7268915.6625406686</v>
      </c>
      <c r="G679" s="44" t="s">
        <v>501</v>
      </c>
      <c r="H679" s="25">
        <f t="shared" si="22"/>
        <v>3.4560990607044317E-3</v>
      </c>
      <c r="J679" s="44">
        <v>392.68</v>
      </c>
      <c r="K679" s="44">
        <v>396.61</v>
      </c>
      <c r="L679" s="44">
        <v>390.35</v>
      </c>
      <c r="M679" s="44">
        <v>393.3</v>
      </c>
      <c r="N679" s="44">
        <v>1797733</v>
      </c>
      <c r="O679" s="44" t="s">
        <v>501</v>
      </c>
      <c r="P679" s="25">
        <f t="shared" si="21"/>
        <v>-1.576404780066154E-3</v>
      </c>
    </row>
    <row r="680" spans="2:16">
      <c r="B680" s="44">
        <v>460.94085676444649</v>
      </c>
      <c r="C680" s="44">
        <v>462.94742786213646</v>
      </c>
      <c r="D680" s="44">
        <v>459.66206113498242</v>
      </c>
      <c r="E680" s="44">
        <v>461.56053313285071</v>
      </c>
      <c r="F680" s="44">
        <v>5413763.8145520939</v>
      </c>
      <c r="G680" s="44" t="s">
        <v>502</v>
      </c>
      <c r="H680" s="25">
        <f t="shared" si="22"/>
        <v>-1.3425679275438362E-3</v>
      </c>
      <c r="J680" s="44">
        <v>388.16</v>
      </c>
      <c r="K680" s="44">
        <v>393.13600000000002</v>
      </c>
      <c r="L680" s="44">
        <v>386.76</v>
      </c>
      <c r="M680" s="44">
        <v>386.76</v>
      </c>
      <c r="N680" s="44">
        <v>1203238</v>
      </c>
      <c r="O680" s="44" t="s">
        <v>502</v>
      </c>
      <c r="P680" s="25">
        <f t="shared" si="21"/>
        <v>3.619815906505508E-3</v>
      </c>
    </row>
    <row r="681" spans="2:16">
      <c r="B681" s="44">
        <v>458.51133195498852</v>
      </c>
      <c r="C681" s="44">
        <v>461.68840285966428</v>
      </c>
      <c r="D681" s="44">
        <v>456.4555801931395</v>
      </c>
      <c r="E681" s="44">
        <v>461.26544914789633</v>
      </c>
      <c r="F681" s="44">
        <v>4693412.6235755878</v>
      </c>
      <c r="G681" s="44" t="s">
        <v>503</v>
      </c>
      <c r="H681" s="25">
        <f t="shared" si="22"/>
        <v>-5.9707857980595413E-3</v>
      </c>
      <c r="J681" s="44">
        <v>387.32</v>
      </c>
      <c r="K681" s="44">
        <v>400.41</v>
      </c>
      <c r="L681" s="44">
        <v>386.3</v>
      </c>
      <c r="M681" s="44">
        <v>400</v>
      </c>
      <c r="N681" s="44">
        <v>1610642</v>
      </c>
      <c r="O681" s="44" t="s">
        <v>503</v>
      </c>
      <c r="P681" s="25">
        <f t="shared" si="21"/>
        <v>-3.1700000000000061E-2</v>
      </c>
    </row>
    <row r="682" spans="2:16">
      <c r="B682" s="44">
        <v>463.1539866516045</v>
      </c>
      <c r="C682" s="44">
        <v>464.85563763150827</v>
      </c>
      <c r="D682" s="44">
        <v>462.88841106514559</v>
      </c>
      <c r="E682" s="44">
        <v>462.89824719797735</v>
      </c>
      <c r="F682" s="44">
        <v>4036385.0995981134</v>
      </c>
      <c r="G682" s="44" t="s">
        <v>504</v>
      </c>
      <c r="H682" s="25">
        <f t="shared" si="22"/>
        <v>5.5247444805672785E-4</v>
      </c>
      <c r="J682" s="44">
        <v>400.59</v>
      </c>
      <c r="K682" s="44">
        <v>403</v>
      </c>
      <c r="L682" s="44">
        <v>396.51</v>
      </c>
      <c r="M682" s="44">
        <v>398.3</v>
      </c>
      <c r="N682" s="44">
        <v>1943687</v>
      </c>
      <c r="O682" s="44" t="s">
        <v>504</v>
      </c>
      <c r="P682" s="25">
        <f t="shared" si="21"/>
        <v>5.7494350991713628E-3</v>
      </c>
    </row>
    <row r="683" spans="2:16">
      <c r="B683" s="44">
        <v>463.70481009018607</v>
      </c>
      <c r="C683" s="44">
        <v>464.03923860646773</v>
      </c>
      <c r="D683" s="44">
        <v>459.77035695746065</v>
      </c>
      <c r="E683" s="44">
        <v>460.16380227073319</v>
      </c>
      <c r="F683" s="44">
        <v>4920044.3738901056</v>
      </c>
      <c r="G683" s="44" t="s">
        <v>505</v>
      </c>
      <c r="H683" s="25">
        <f t="shared" si="22"/>
        <v>7.6951029220015954E-3</v>
      </c>
      <c r="J683" s="44">
        <v>397.9</v>
      </c>
      <c r="K683" s="44">
        <v>399.67</v>
      </c>
      <c r="L683" s="44">
        <v>382.32010000000002</v>
      </c>
      <c r="M683" s="44">
        <v>383.48</v>
      </c>
      <c r="N683" s="44">
        <v>2194148</v>
      </c>
      <c r="O683" s="44" t="s">
        <v>505</v>
      </c>
      <c r="P683" s="25">
        <f t="shared" si="21"/>
        <v>3.760300406800865E-2</v>
      </c>
    </row>
    <row r="684" spans="2:16">
      <c r="B684" s="44">
        <v>459.27855031587001</v>
      </c>
      <c r="C684" s="44">
        <v>460.81298703763292</v>
      </c>
      <c r="D684" s="44">
        <v>456.85886163924386</v>
      </c>
      <c r="E684" s="44">
        <v>459.31789484719724</v>
      </c>
      <c r="F684" s="44">
        <v>7455085.3728639456</v>
      </c>
      <c r="G684" s="44" t="s">
        <v>506</v>
      </c>
      <c r="H684" s="25">
        <f t="shared" si="22"/>
        <v>-8.5658607619332194E-5</v>
      </c>
      <c r="J684" s="44">
        <v>385.6</v>
      </c>
      <c r="K684" s="44">
        <v>389.26</v>
      </c>
      <c r="L684" s="44">
        <v>383.93</v>
      </c>
      <c r="M684" s="44">
        <v>384.41</v>
      </c>
      <c r="N684" s="44">
        <v>2134795</v>
      </c>
      <c r="O684" s="44" t="s">
        <v>506</v>
      </c>
      <c r="P684" s="25">
        <f t="shared" ref="P684:P747" si="23">J684/M684-1</f>
        <v>3.0956530787440428E-3</v>
      </c>
    </row>
    <row r="685" spans="2:16">
      <c r="B685" s="44">
        <v>457.58673546879805</v>
      </c>
      <c r="C685" s="44">
        <v>458.1965757043705</v>
      </c>
      <c r="D685" s="44">
        <v>456.50476085729855</v>
      </c>
      <c r="E685" s="44">
        <v>456.8785339049075</v>
      </c>
      <c r="F685" s="44">
        <v>2847259.2307231338</v>
      </c>
      <c r="G685" s="44" t="s">
        <v>507</v>
      </c>
      <c r="H685" s="25">
        <f t="shared" si="22"/>
        <v>1.55008719240457E-3</v>
      </c>
      <c r="J685" s="44">
        <v>386.59</v>
      </c>
      <c r="K685" s="44">
        <v>386.74549999999999</v>
      </c>
      <c r="L685" s="44">
        <v>383.56</v>
      </c>
      <c r="M685" s="44">
        <v>384.6</v>
      </c>
      <c r="N685" s="44">
        <v>902880</v>
      </c>
      <c r="O685" s="44" t="s">
        <v>507</v>
      </c>
      <c r="P685" s="25">
        <f t="shared" si="23"/>
        <v>5.1742069682785274E-3</v>
      </c>
    </row>
    <row r="686" spans="2:16">
      <c r="B686" s="44">
        <v>458.29493703268861</v>
      </c>
      <c r="C686" s="44">
        <v>458.48182355649311</v>
      </c>
      <c r="D686" s="44">
        <v>456.30803820066234</v>
      </c>
      <c r="E686" s="44">
        <v>458.0785421103887</v>
      </c>
      <c r="F686" s="44">
        <v>3646700.4475565357</v>
      </c>
      <c r="G686" s="44" t="s">
        <v>508</v>
      </c>
      <c r="H686" s="25">
        <f t="shared" si="22"/>
        <v>4.7239698524825791E-4</v>
      </c>
      <c r="J686" s="44">
        <v>386.46</v>
      </c>
      <c r="K686" s="44">
        <v>389.4701</v>
      </c>
      <c r="L686" s="44">
        <v>385.27499999999998</v>
      </c>
      <c r="M686" s="44">
        <v>386.46</v>
      </c>
      <c r="N686" s="44">
        <v>1042975</v>
      </c>
      <c r="O686" s="44" t="s">
        <v>508</v>
      </c>
      <c r="P686" s="25">
        <f t="shared" si="23"/>
        <v>0</v>
      </c>
    </row>
    <row r="687" spans="2:16">
      <c r="B687" s="44">
        <v>457.44902960915266</v>
      </c>
      <c r="C687" s="44">
        <v>459.92773508276963</v>
      </c>
      <c r="D687" s="44">
        <v>457.32115988233909</v>
      </c>
      <c r="E687" s="44">
        <v>459.53428976949715</v>
      </c>
      <c r="F687" s="44">
        <v>3508293.4106368246</v>
      </c>
      <c r="G687" s="44" t="s">
        <v>509</v>
      </c>
      <c r="H687" s="25">
        <f t="shared" si="22"/>
        <v>-4.5377683597680463E-3</v>
      </c>
      <c r="J687" s="44">
        <v>388.27</v>
      </c>
      <c r="K687" s="44">
        <v>391.81</v>
      </c>
      <c r="L687" s="44">
        <v>386.15</v>
      </c>
      <c r="M687" s="44">
        <v>389.4</v>
      </c>
      <c r="N687" s="44">
        <v>1024539</v>
      </c>
      <c r="O687" s="44" t="s">
        <v>509</v>
      </c>
      <c r="P687" s="25">
        <f t="shared" si="23"/>
        <v>-2.9019003595274206E-3</v>
      </c>
    </row>
    <row r="688" spans="2:16">
      <c r="B688" s="44">
        <v>459.13100832339273</v>
      </c>
      <c r="C688" s="44">
        <v>461.18676008524181</v>
      </c>
      <c r="D688" s="44">
        <v>458.4530036872959</v>
      </c>
      <c r="E688" s="44">
        <v>460.41954172436033</v>
      </c>
      <c r="F688" s="44">
        <v>4118103.1908178921</v>
      </c>
      <c r="G688" s="44" t="s">
        <v>510</v>
      </c>
      <c r="H688" s="25">
        <f t="shared" si="22"/>
        <v>-2.7986071054711958E-3</v>
      </c>
      <c r="J688" s="44">
        <v>389.77</v>
      </c>
      <c r="K688" s="44">
        <v>391.25</v>
      </c>
      <c r="L688" s="44">
        <v>387.28</v>
      </c>
      <c r="M688" s="44">
        <v>389.08</v>
      </c>
      <c r="N688" s="44">
        <v>1000527</v>
      </c>
      <c r="O688" s="44" t="s">
        <v>510</v>
      </c>
      <c r="P688" s="25">
        <f t="shared" si="23"/>
        <v>1.7734142078749127E-3</v>
      </c>
    </row>
    <row r="689" spans="2:16">
      <c r="B689" s="44">
        <v>458.9244495339247</v>
      </c>
      <c r="C689" s="44">
        <v>459.67199562914249</v>
      </c>
      <c r="D689" s="44">
        <v>454.73917501398802</v>
      </c>
      <c r="E689" s="44">
        <v>455.62934503526719</v>
      </c>
      <c r="F689" s="44">
        <v>4400648.1754699135</v>
      </c>
      <c r="G689" s="44" t="s">
        <v>511</v>
      </c>
      <c r="H689" s="25">
        <f t="shared" si="22"/>
        <v>7.2319848020379052E-3</v>
      </c>
      <c r="J689" s="44">
        <v>389.08</v>
      </c>
      <c r="K689" s="44">
        <v>389.68</v>
      </c>
      <c r="L689" s="44">
        <v>382.21</v>
      </c>
      <c r="M689" s="44">
        <v>382.43</v>
      </c>
      <c r="N689" s="44">
        <v>1540785</v>
      </c>
      <c r="O689" s="44" t="s">
        <v>511</v>
      </c>
      <c r="P689" s="25">
        <f t="shared" si="23"/>
        <v>1.7388803179666734E-2</v>
      </c>
    </row>
    <row r="690" spans="2:16">
      <c r="B690" s="44">
        <v>449.48176201538371</v>
      </c>
      <c r="C690" s="44">
        <v>449.62930400786092</v>
      </c>
      <c r="D690" s="44">
        <v>446.16698525106256</v>
      </c>
      <c r="E690" s="44">
        <v>447.85880009813445</v>
      </c>
      <c r="F690" s="44">
        <v>4293433.275261458</v>
      </c>
      <c r="G690" s="44" t="s">
        <v>512</v>
      </c>
      <c r="H690" s="25">
        <f t="shared" si="22"/>
        <v>3.6238250021962681E-3</v>
      </c>
      <c r="J690" s="44">
        <v>380.23</v>
      </c>
      <c r="K690" s="44">
        <v>380.47</v>
      </c>
      <c r="L690" s="44">
        <v>373.15</v>
      </c>
      <c r="M690" s="44">
        <v>376.75</v>
      </c>
      <c r="N690" s="44">
        <v>1216678</v>
      </c>
      <c r="O690" s="44" t="s">
        <v>512</v>
      </c>
      <c r="P690" s="25">
        <f t="shared" si="23"/>
        <v>9.2368944923690854E-3</v>
      </c>
    </row>
    <row r="691" spans="2:16">
      <c r="B691" s="44">
        <v>449.02929990512024</v>
      </c>
      <c r="C691" s="44">
        <v>450.55390049405139</v>
      </c>
      <c r="D691" s="44">
        <v>446.98338427610304</v>
      </c>
      <c r="E691" s="44">
        <v>449.94406025847894</v>
      </c>
      <c r="F691" s="44">
        <v>5395193.508200678</v>
      </c>
      <c r="G691" s="44" t="s">
        <v>513</v>
      </c>
      <c r="H691" s="25">
        <f t="shared" si="22"/>
        <v>-2.0330535152152107E-3</v>
      </c>
      <c r="J691" s="44">
        <v>377.64</v>
      </c>
      <c r="K691" s="44">
        <v>382.88</v>
      </c>
      <c r="L691" s="44">
        <v>374.61</v>
      </c>
      <c r="M691" s="44">
        <v>379.69</v>
      </c>
      <c r="N691" s="44">
        <v>1445682</v>
      </c>
      <c r="O691" s="44" t="s">
        <v>513</v>
      </c>
      <c r="P691" s="25">
        <f t="shared" si="23"/>
        <v>-5.3991414048303321E-3</v>
      </c>
    </row>
    <row r="692" spans="2:16">
      <c r="B692" s="44">
        <v>451.50800537873727</v>
      </c>
      <c r="C692" s="44">
        <v>454.5768788222631</v>
      </c>
      <c r="D692" s="44">
        <v>450.888329010333</v>
      </c>
      <c r="E692" s="44">
        <v>453.52441260925906</v>
      </c>
      <c r="F692" s="44">
        <v>5619986.1210910352</v>
      </c>
      <c r="G692" s="44" t="s">
        <v>514</v>
      </c>
      <c r="H692" s="25">
        <f t="shared" si="22"/>
        <v>-4.4460831092218989E-3</v>
      </c>
      <c r="J692" s="44">
        <v>378.63</v>
      </c>
      <c r="K692" s="44">
        <v>381.15</v>
      </c>
      <c r="L692" s="44">
        <v>376</v>
      </c>
      <c r="M692" s="44">
        <v>378.29</v>
      </c>
      <c r="N692" s="44">
        <v>1272001</v>
      </c>
      <c r="O692" s="44" t="s">
        <v>514</v>
      </c>
      <c r="P692" s="25">
        <f t="shared" si="23"/>
        <v>8.9878135821708227E-4</v>
      </c>
    </row>
    <row r="693" spans="2:16">
      <c r="B693" s="44">
        <v>453.82933272704526</v>
      </c>
      <c r="C693" s="44">
        <v>453.97687471952253</v>
      </c>
      <c r="D693" s="44">
        <v>450.91783740882846</v>
      </c>
      <c r="E693" s="44">
        <v>451.38013565192369</v>
      </c>
      <c r="F693" s="44">
        <v>5790599.9211174203</v>
      </c>
      <c r="G693" s="44" t="s">
        <v>515</v>
      </c>
      <c r="H693" s="25">
        <f t="shared" si="22"/>
        <v>5.4260187404662208E-3</v>
      </c>
      <c r="J693" s="44">
        <v>380.17</v>
      </c>
      <c r="K693" s="44">
        <v>383</v>
      </c>
      <c r="L693" s="44">
        <v>377.54</v>
      </c>
      <c r="M693" s="44">
        <v>382.03</v>
      </c>
      <c r="N693" s="44">
        <v>1053098</v>
      </c>
      <c r="O693" s="44" t="s">
        <v>515</v>
      </c>
      <c r="P693" s="25">
        <f t="shared" si="23"/>
        <v>-4.8687275868386504E-3</v>
      </c>
    </row>
    <row r="694" spans="2:16">
      <c r="B694" s="44">
        <v>450.78013154918312</v>
      </c>
      <c r="C694" s="44">
        <v>451.15390459679202</v>
      </c>
      <c r="D694" s="44">
        <v>446.95387587760757</v>
      </c>
      <c r="E694" s="44">
        <v>449.09323476852705</v>
      </c>
      <c r="F694" s="44">
        <v>5717703.3862433787</v>
      </c>
      <c r="G694" s="44" t="s">
        <v>516</v>
      </c>
      <c r="H694" s="25">
        <f t="shared" si="22"/>
        <v>3.7562284400154411E-3</v>
      </c>
      <c r="J694" s="44">
        <v>381.76</v>
      </c>
      <c r="K694" s="44">
        <v>381.91</v>
      </c>
      <c r="L694" s="44">
        <v>378</v>
      </c>
      <c r="M694" s="44">
        <v>380.09</v>
      </c>
      <c r="N694" s="44">
        <v>1147614</v>
      </c>
      <c r="O694" s="44" t="s">
        <v>516</v>
      </c>
      <c r="P694" s="25">
        <f t="shared" si="23"/>
        <v>4.3936962298403159E-3</v>
      </c>
    </row>
    <row r="695" spans="2:16">
      <c r="B695" s="44">
        <v>446.53092216583963</v>
      </c>
      <c r="C695" s="44">
        <v>448.23257314574334</v>
      </c>
      <c r="D695" s="44">
        <v>443.60467264837507</v>
      </c>
      <c r="E695" s="44">
        <v>447.03256494026215</v>
      </c>
      <c r="F695" s="44">
        <v>8288056.0270930398</v>
      </c>
      <c r="G695" s="44" t="s">
        <v>517</v>
      </c>
      <c r="H695" s="25">
        <f t="shared" si="22"/>
        <v>-1.1221615912692107E-3</v>
      </c>
      <c r="J695" s="44">
        <v>378.89</v>
      </c>
      <c r="K695" s="44">
        <v>383.245</v>
      </c>
      <c r="L695" s="44">
        <v>371</v>
      </c>
      <c r="M695" s="44">
        <v>375</v>
      </c>
      <c r="N695" s="44">
        <v>1705296</v>
      </c>
      <c r="O695" s="44" t="s">
        <v>517</v>
      </c>
      <c r="P695" s="25">
        <f t="shared" si="23"/>
        <v>1.0373333333333346E-2</v>
      </c>
    </row>
    <row r="696" spans="2:16">
      <c r="B696" s="44">
        <v>452.91457237368661</v>
      </c>
      <c r="C696" s="44">
        <v>455.15721065934014</v>
      </c>
      <c r="D696" s="44">
        <v>452.21620694262788</v>
      </c>
      <c r="E696" s="44">
        <v>453.06211436616383</v>
      </c>
      <c r="F696" s="44">
        <v>4640271.8202804755</v>
      </c>
      <c r="G696" s="44" t="s">
        <v>518</v>
      </c>
      <c r="H696" s="25">
        <f t="shared" si="22"/>
        <v>-3.2565510952864418E-4</v>
      </c>
      <c r="J696" s="44">
        <v>382.13</v>
      </c>
      <c r="K696" s="44">
        <v>387.36</v>
      </c>
      <c r="L696" s="44">
        <v>381.07010000000002</v>
      </c>
      <c r="M696" s="44">
        <v>386.09</v>
      </c>
      <c r="N696" s="44">
        <v>1569858</v>
      </c>
      <c r="O696" s="44" t="s">
        <v>518</v>
      </c>
      <c r="P696" s="25">
        <f t="shared" si="23"/>
        <v>-1.0256675904581791E-2</v>
      </c>
    </row>
    <row r="697" spans="2:16">
      <c r="B697" s="44">
        <v>453.1211311631547</v>
      </c>
      <c r="C697" s="44">
        <v>453.47523194509995</v>
      </c>
      <c r="D697" s="44">
        <v>450.66209795520132</v>
      </c>
      <c r="E697" s="44">
        <v>451.02603486997845</v>
      </c>
      <c r="F697" s="44">
        <v>4069276.0746928803</v>
      </c>
      <c r="G697" s="44" t="s">
        <v>519</v>
      </c>
      <c r="H697" s="25">
        <f t="shared" si="22"/>
        <v>4.6451781742049558E-3</v>
      </c>
      <c r="J697" s="44">
        <v>388.22</v>
      </c>
      <c r="K697" s="44">
        <v>389.92</v>
      </c>
      <c r="L697" s="44">
        <v>383.05</v>
      </c>
      <c r="M697" s="44">
        <v>387.46</v>
      </c>
      <c r="N697" s="44">
        <v>1234101</v>
      </c>
      <c r="O697" s="44" t="s">
        <v>519</v>
      </c>
      <c r="P697" s="25">
        <f t="shared" si="23"/>
        <v>1.9614927992568365E-3</v>
      </c>
    </row>
    <row r="698" spans="2:16">
      <c r="B698" s="44">
        <v>450.56373662688316</v>
      </c>
      <c r="C698" s="44">
        <v>450.8194760805103</v>
      </c>
      <c r="D698" s="44">
        <v>449.54077881237453</v>
      </c>
      <c r="E698" s="44">
        <v>450.30799717325601</v>
      </c>
      <c r="F698" s="44">
        <v>4254306.1094758129</v>
      </c>
      <c r="G698" s="44" t="s">
        <v>520</v>
      </c>
      <c r="H698" s="25">
        <f t="shared" si="22"/>
        <v>5.6792119001336516E-4</v>
      </c>
      <c r="J698" s="44">
        <v>386.94</v>
      </c>
      <c r="K698" s="44">
        <v>391.6</v>
      </c>
      <c r="L698" s="44">
        <v>385.36</v>
      </c>
      <c r="M698" s="44">
        <v>389.51</v>
      </c>
      <c r="N698" s="44">
        <v>998655</v>
      </c>
      <c r="O698" s="44" t="s">
        <v>520</v>
      </c>
      <c r="P698" s="25">
        <f t="shared" si="23"/>
        <v>-6.5980334266129148E-3</v>
      </c>
    </row>
    <row r="699" spans="2:16">
      <c r="B699" s="44">
        <v>450.25881650909696</v>
      </c>
      <c r="C699" s="44">
        <v>450.67193408803314</v>
      </c>
      <c r="D699" s="44">
        <v>447.80961943397534</v>
      </c>
      <c r="E699" s="44">
        <v>448.67519912317493</v>
      </c>
      <c r="F699" s="44">
        <v>6876091.5652996404</v>
      </c>
      <c r="G699" s="44" t="s">
        <v>521</v>
      </c>
      <c r="H699" s="25">
        <f t="shared" si="22"/>
        <v>3.5295407212541097E-3</v>
      </c>
      <c r="J699" s="44">
        <v>391.375</v>
      </c>
      <c r="K699" s="44">
        <v>392</v>
      </c>
      <c r="L699" s="44">
        <v>385.72</v>
      </c>
      <c r="M699" s="44">
        <v>390.38</v>
      </c>
      <c r="N699" s="44">
        <v>1458965</v>
      </c>
      <c r="O699" s="44" t="s">
        <v>521</v>
      </c>
      <c r="P699" s="25">
        <f t="shared" si="23"/>
        <v>2.5487986064860468E-3</v>
      </c>
    </row>
    <row r="700" spans="2:16">
      <c r="B700" s="44">
        <v>446.5899389628305</v>
      </c>
      <c r="C700" s="44">
        <v>446.8456784164577</v>
      </c>
      <c r="D700" s="44">
        <v>444.79976278744044</v>
      </c>
      <c r="E700" s="44">
        <v>446.14731298539886</v>
      </c>
      <c r="F700" s="44">
        <v>4456630.5426680259</v>
      </c>
      <c r="G700" s="44" t="s">
        <v>522</v>
      </c>
      <c r="H700" s="25">
        <f t="shared" si="22"/>
        <v>9.9210723576881321E-4</v>
      </c>
      <c r="J700" s="44">
        <v>389.69</v>
      </c>
      <c r="K700" s="44">
        <v>389.79</v>
      </c>
      <c r="L700" s="44">
        <v>384.12</v>
      </c>
      <c r="M700" s="44">
        <v>385.26</v>
      </c>
      <c r="N700" s="44">
        <v>1694266</v>
      </c>
      <c r="O700" s="44" t="s">
        <v>522</v>
      </c>
      <c r="P700" s="25">
        <f t="shared" si="23"/>
        <v>1.1498728131651426E-2</v>
      </c>
    </row>
    <row r="701" spans="2:16">
      <c r="B701" s="44">
        <v>445.2030442335448</v>
      </c>
      <c r="C701" s="44">
        <v>446.70797255681225</v>
      </c>
      <c r="D701" s="44">
        <v>443.1571286045276</v>
      </c>
      <c r="E701" s="44">
        <v>446.29485497787613</v>
      </c>
      <c r="F701" s="44">
        <v>7220171.9125122745</v>
      </c>
      <c r="G701" s="44" t="s">
        <v>523</v>
      </c>
      <c r="H701" s="25">
        <f t="shared" si="22"/>
        <v>-2.4463888215459084E-3</v>
      </c>
      <c r="J701" s="44">
        <v>383.94</v>
      </c>
      <c r="K701" s="44">
        <v>388.61989999999997</v>
      </c>
      <c r="L701" s="44">
        <v>380.57</v>
      </c>
      <c r="M701" s="44">
        <v>384.47</v>
      </c>
      <c r="N701" s="44">
        <v>1575287</v>
      </c>
      <c r="O701" s="44" t="s">
        <v>523</v>
      </c>
      <c r="P701" s="25">
        <f t="shared" si="23"/>
        <v>-1.3785210809686976E-3</v>
      </c>
    </row>
    <row r="702" spans="2:16">
      <c r="B702" s="44">
        <v>446.83584228362582</v>
      </c>
      <c r="C702" s="44">
        <v>448.40962353671603</v>
      </c>
      <c r="D702" s="44">
        <v>442.32105731382342</v>
      </c>
      <c r="E702" s="44">
        <v>442.63581356444143</v>
      </c>
      <c r="F702" s="44">
        <v>6357663.2269279826</v>
      </c>
      <c r="G702" s="44" t="s">
        <v>524</v>
      </c>
      <c r="H702" s="25">
        <f t="shared" si="22"/>
        <v>9.488678029377029E-3</v>
      </c>
      <c r="J702" s="44">
        <v>383.77</v>
      </c>
      <c r="K702" s="44">
        <v>385.43</v>
      </c>
      <c r="L702" s="44">
        <v>377.9</v>
      </c>
      <c r="M702" s="44">
        <v>382.33</v>
      </c>
      <c r="N702" s="44">
        <v>1773557</v>
      </c>
      <c r="O702" s="44" t="s">
        <v>524</v>
      </c>
      <c r="P702" s="25">
        <f t="shared" si="23"/>
        <v>3.7663798289435668E-3</v>
      </c>
    </row>
    <row r="703" spans="2:16">
      <c r="B703" s="44">
        <v>442.29154891532801</v>
      </c>
      <c r="C703" s="44">
        <v>442.29154891532801</v>
      </c>
      <c r="D703" s="44">
        <v>437.36384308924602</v>
      </c>
      <c r="E703" s="44">
        <v>438.05217566481639</v>
      </c>
      <c r="F703" s="44">
        <v>6240623.3272352358</v>
      </c>
      <c r="G703" s="44" t="s">
        <v>525</v>
      </c>
      <c r="H703" s="25">
        <f t="shared" si="22"/>
        <v>9.6777815201527506E-3</v>
      </c>
      <c r="J703" s="44">
        <v>383.83</v>
      </c>
      <c r="K703" s="44">
        <v>384.29</v>
      </c>
      <c r="L703" s="44">
        <v>375.67</v>
      </c>
      <c r="M703" s="44">
        <v>378.41</v>
      </c>
      <c r="N703" s="44">
        <v>1630137</v>
      </c>
      <c r="O703" s="44" t="s">
        <v>525</v>
      </c>
      <c r="P703" s="25">
        <f t="shared" si="23"/>
        <v>1.4323088713300347E-2</v>
      </c>
    </row>
    <row r="704" spans="2:16">
      <c r="B704" s="44">
        <v>436.54724734154888</v>
      </c>
      <c r="C704" s="44">
        <v>442.09974432510762</v>
      </c>
      <c r="D704" s="44">
        <v>436.47839441172619</v>
      </c>
      <c r="E704" s="44">
        <v>441.68170867975556</v>
      </c>
      <c r="F704" s="44">
        <v>7226460.9695083257</v>
      </c>
      <c r="G704" s="44" t="s">
        <v>526</v>
      </c>
      <c r="H704" s="25">
        <f t="shared" si="22"/>
        <v>-1.1624799572421129E-2</v>
      </c>
      <c r="J704" s="44">
        <v>378.22</v>
      </c>
      <c r="K704" s="44">
        <v>383.74</v>
      </c>
      <c r="L704" s="44">
        <v>375.59500000000003</v>
      </c>
      <c r="M704" s="44">
        <v>378.5</v>
      </c>
      <c r="N704" s="44">
        <v>1802098</v>
      </c>
      <c r="O704" s="44" t="s">
        <v>526</v>
      </c>
      <c r="P704" s="25">
        <f t="shared" si="23"/>
        <v>-7.3976221928662156E-4</v>
      </c>
    </row>
    <row r="705" spans="2:16">
      <c r="B705" s="44">
        <v>443.77680497293187</v>
      </c>
      <c r="C705" s="44">
        <v>444.40631747416791</v>
      </c>
      <c r="D705" s="44">
        <v>443.05876727620944</v>
      </c>
      <c r="E705" s="44">
        <v>443.45221258948197</v>
      </c>
      <c r="F705" s="44">
        <v>3466761.8446255634</v>
      </c>
      <c r="G705" s="44" t="s">
        <v>527</v>
      </c>
      <c r="H705" s="25">
        <f t="shared" si="22"/>
        <v>7.3196699494282313E-4</v>
      </c>
      <c r="J705" s="44">
        <v>377.29</v>
      </c>
      <c r="K705" s="44">
        <v>381.79</v>
      </c>
      <c r="L705" s="44">
        <v>376.42</v>
      </c>
      <c r="M705" s="44">
        <v>377.37</v>
      </c>
      <c r="N705" s="44">
        <v>1375320</v>
      </c>
      <c r="O705" s="44" t="s">
        <v>527</v>
      </c>
      <c r="P705" s="25">
        <f t="shared" si="23"/>
        <v>-2.119935341972079E-4</v>
      </c>
    </row>
    <row r="706" spans="2:16">
      <c r="B706" s="44">
        <v>444.09156122354989</v>
      </c>
      <c r="C706" s="44">
        <v>444.20939809487498</v>
      </c>
      <c r="D706" s="44">
        <v>440.37468334906418</v>
      </c>
      <c r="E706" s="44">
        <v>440.88498192037866</v>
      </c>
      <c r="F706" s="44">
        <v>4618941.2828032468</v>
      </c>
      <c r="G706" s="44" t="s">
        <v>528</v>
      </c>
      <c r="H706" s="25">
        <f t="shared" ref="H706:H769" si="24">B706/E706-1</f>
        <v>7.2730517814514339E-3</v>
      </c>
      <c r="J706" s="44">
        <v>379.16</v>
      </c>
      <c r="K706" s="44">
        <v>379.34</v>
      </c>
      <c r="L706" s="44">
        <v>373.06</v>
      </c>
      <c r="M706" s="44">
        <v>374.41</v>
      </c>
      <c r="N706" s="44">
        <v>1602969</v>
      </c>
      <c r="O706" s="44" t="s">
        <v>528</v>
      </c>
      <c r="P706" s="25">
        <f t="shared" si="23"/>
        <v>1.2686626959750091E-2</v>
      </c>
    </row>
    <row r="707" spans="2:16">
      <c r="B707" s="44">
        <v>440.88498192037866</v>
      </c>
      <c r="C707" s="44">
        <v>442.14400692285079</v>
      </c>
      <c r="D707" s="44">
        <v>439.83251570737463</v>
      </c>
      <c r="E707" s="44">
        <v>440.75711219356509</v>
      </c>
      <c r="F707" s="44">
        <v>6510712.1970609371</v>
      </c>
      <c r="G707" s="44" t="s">
        <v>529</v>
      </c>
      <c r="H707" s="25">
        <f t="shared" si="24"/>
        <v>2.9011381388088786E-4</v>
      </c>
      <c r="J707" s="44">
        <v>374.76</v>
      </c>
      <c r="K707" s="44">
        <v>375.06</v>
      </c>
      <c r="L707" s="44">
        <v>368.01010000000002</v>
      </c>
      <c r="M707" s="44">
        <v>371.6</v>
      </c>
      <c r="N707" s="44">
        <v>2144764</v>
      </c>
      <c r="O707" s="44" t="s">
        <v>529</v>
      </c>
      <c r="P707" s="25">
        <f t="shared" si="23"/>
        <v>8.503767491926606E-3</v>
      </c>
    </row>
    <row r="708" spans="2:16">
      <c r="B708" s="44">
        <v>441.15055750683763</v>
      </c>
      <c r="C708" s="44">
        <v>441.40629696046477</v>
      </c>
      <c r="D708" s="44">
        <v>438.79972176003417</v>
      </c>
      <c r="E708" s="44">
        <v>440.79645672489232</v>
      </c>
      <c r="F708" s="44">
        <v>4236476.9480565209</v>
      </c>
      <c r="G708" s="44" t="s">
        <v>530</v>
      </c>
      <c r="H708" s="25">
        <f t="shared" si="24"/>
        <v>8.033203909492137E-4</v>
      </c>
      <c r="J708" s="44">
        <v>374.97</v>
      </c>
      <c r="K708" s="44">
        <v>377.32499999999999</v>
      </c>
      <c r="L708" s="44">
        <v>370.6</v>
      </c>
      <c r="M708" s="44">
        <v>372.61</v>
      </c>
      <c r="N708" s="44">
        <v>1873334</v>
      </c>
      <c r="O708" s="44" t="s">
        <v>530</v>
      </c>
      <c r="P708" s="25">
        <f t="shared" si="23"/>
        <v>6.333700115402241E-3</v>
      </c>
    </row>
    <row r="709" spans="2:16">
      <c r="B709" s="44">
        <v>438.68168816605242</v>
      </c>
      <c r="C709" s="44">
        <v>441.82885722691947</v>
      </c>
      <c r="D709" s="44">
        <v>438.44562097808887</v>
      </c>
      <c r="E709" s="44">
        <v>440.97350711586495</v>
      </c>
      <c r="F709" s="44">
        <v>4644308.9760081377</v>
      </c>
      <c r="G709" s="44" t="s">
        <v>531</v>
      </c>
      <c r="H709" s="25">
        <f t="shared" si="24"/>
        <v>-5.1971805852961683E-3</v>
      </c>
      <c r="J709" s="44">
        <v>370.07</v>
      </c>
      <c r="K709" s="44">
        <v>384</v>
      </c>
      <c r="L709" s="44">
        <v>362.14</v>
      </c>
      <c r="M709" s="44">
        <v>383.93</v>
      </c>
      <c r="N709" s="44">
        <v>4949678</v>
      </c>
      <c r="O709" s="44" t="s">
        <v>531</v>
      </c>
      <c r="P709" s="25">
        <f t="shared" si="23"/>
        <v>-3.6100330789466839E-2</v>
      </c>
    </row>
    <row r="710" spans="2:16">
      <c r="B710" s="44">
        <v>438.3177512512753</v>
      </c>
      <c r="C710" s="44">
        <v>438.51447390791157</v>
      </c>
      <c r="D710" s="44">
        <v>436.50790281022159</v>
      </c>
      <c r="E710" s="44">
        <v>437.54069675756205</v>
      </c>
      <c r="F710" s="44">
        <v>3305756.4955642079</v>
      </c>
      <c r="G710" s="44" t="s">
        <v>532</v>
      </c>
      <c r="H710" s="25">
        <f t="shared" si="24"/>
        <v>1.7759593552593156E-3</v>
      </c>
      <c r="J710" s="44">
        <v>371.41</v>
      </c>
      <c r="K710" s="44">
        <v>377.80250000000001</v>
      </c>
      <c r="L710" s="44">
        <v>367.5</v>
      </c>
      <c r="M710" s="44">
        <v>377.25</v>
      </c>
      <c r="N710" s="44">
        <v>2393791</v>
      </c>
      <c r="O710" s="44" t="s">
        <v>532</v>
      </c>
      <c r="P710" s="25">
        <f t="shared" si="23"/>
        <v>-1.5480450629555942E-2</v>
      </c>
    </row>
    <row r="711" spans="2:16">
      <c r="B711" s="44">
        <v>437.01938171747594</v>
      </c>
      <c r="C711" s="44">
        <v>438.61283523622973</v>
      </c>
      <c r="D711" s="44">
        <v>436.40954148190349</v>
      </c>
      <c r="E711" s="44">
        <v>437.48167996057117</v>
      </c>
      <c r="F711" s="44">
        <v>5968211.3899611058</v>
      </c>
      <c r="G711" s="44" t="s">
        <v>533</v>
      </c>
      <c r="H711" s="25">
        <f t="shared" si="24"/>
        <v>-1.0567259482429092E-3</v>
      </c>
      <c r="J711" s="44">
        <v>375.81</v>
      </c>
      <c r="K711" s="44">
        <v>379.39</v>
      </c>
      <c r="L711" s="44">
        <v>375.07</v>
      </c>
      <c r="M711" s="44">
        <v>377.91</v>
      </c>
      <c r="N711" s="44">
        <v>1813143</v>
      </c>
      <c r="O711" s="44" t="s">
        <v>533</v>
      </c>
      <c r="P711" s="25">
        <f t="shared" si="23"/>
        <v>-5.5568786218941346E-3</v>
      </c>
    </row>
    <row r="712" spans="2:16">
      <c r="B712" s="44">
        <v>436.02593230146277</v>
      </c>
      <c r="C712" s="44">
        <v>436.34068855208079</v>
      </c>
      <c r="D712" s="44">
        <v>431.1275381512196</v>
      </c>
      <c r="E712" s="44">
        <v>431.80623131661474</v>
      </c>
      <c r="F712" s="44">
        <v>4917381.7420969186</v>
      </c>
      <c r="G712" s="44" t="s">
        <v>534</v>
      </c>
      <c r="H712" s="25">
        <f t="shared" si="24"/>
        <v>9.7722095671981535E-3</v>
      </c>
      <c r="J712" s="44">
        <v>374.82</v>
      </c>
      <c r="K712" s="44">
        <v>376.9</v>
      </c>
      <c r="L712" s="44">
        <v>370.65499999999997</v>
      </c>
      <c r="M712" s="44">
        <v>374</v>
      </c>
      <c r="N712" s="44">
        <v>2392529</v>
      </c>
      <c r="O712" s="44" t="s">
        <v>534</v>
      </c>
      <c r="P712" s="25">
        <f t="shared" si="23"/>
        <v>2.1925133689839615E-3</v>
      </c>
    </row>
    <row r="713" spans="2:16">
      <c r="B713" s="44">
        <v>430.7537651036107</v>
      </c>
      <c r="C713" s="44">
        <v>431.20622721387412</v>
      </c>
      <c r="D713" s="44">
        <v>427.04554302601701</v>
      </c>
      <c r="E713" s="44">
        <v>428.44227388813448</v>
      </c>
      <c r="F713" s="44">
        <v>4403442.9730260307</v>
      </c>
      <c r="G713" s="44" t="s">
        <v>535</v>
      </c>
      <c r="H713" s="25">
        <f t="shared" si="24"/>
        <v>5.395105376739151E-3</v>
      </c>
      <c r="J713" s="44">
        <v>371.93</v>
      </c>
      <c r="K713" s="44">
        <v>374.18</v>
      </c>
      <c r="L713" s="44">
        <v>366.79109999999997</v>
      </c>
      <c r="M713" s="44">
        <v>369.88</v>
      </c>
      <c r="N713" s="44">
        <v>2533109</v>
      </c>
      <c r="O713" s="44" t="s">
        <v>535</v>
      </c>
      <c r="P713" s="25">
        <f t="shared" si="23"/>
        <v>5.5423380555856827E-3</v>
      </c>
    </row>
    <row r="714" spans="2:16">
      <c r="B714" s="44">
        <v>426.95701783053067</v>
      </c>
      <c r="C714" s="44">
        <v>427.36029927663503</v>
      </c>
      <c r="D714" s="44">
        <v>424.73405181054079</v>
      </c>
      <c r="E714" s="44">
        <v>426.49471958743544</v>
      </c>
      <c r="F714" s="44">
        <v>6145312.4956279369</v>
      </c>
      <c r="G714" s="44" t="s">
        <v>536</v>
      </c>
      <c r="H714" s="25">
        <f t="shared" si="24"/>
        <v>1.0839483394833316E-3</v>
      </c>
      <c r="J714" s="44">
        <v>358.88</v>
      </c>
      <c r="K714" s="44">
        <v>361.23</v>
      </c>
      <c r="L714" s="44">
        <v>355.17</v>
      </c>
      <c r="M714" s="44">
        <v>358.4</v>
      </c>
      <c r="N714" s="44">
        <v>1246107</v>
      </c>
      <c r="O714" s="44" t="s">
        <v>536</v>
      </c>
      <c r="P714" s="25">
        <f t="shared" si="23"/>
        <v>1.339285714285765E-3</v>
      </c>
    </row>
    <row r="715" spans="2:16">
      <c r="B715" s="44">
        <v>429.34719810866136</v>
      </c>
      <c r="C715" s="44">
        <v>430.80294576776976</v>
      </c>
      <c r="D715" s="44">
        <v>427.61603873026218</v>
      </c>
      <c r="E715" s="44">
        <v>429.63244596078397</v>
      </c>
      <c r="F715" s="44">
        <v>5826313.1435806062</v>
      </c>
      <c r="G715" s="44" t="s">
        <v>537</v>
      </c>
      <c r="H715" s="25">
        <f t="shared" si="24"/>
        <v>-6.6393461388769559E-4</v>
      </c>
      <c r="J715" s="44">
        <v>362.33</v>
      </c>
      <c r="K715" s="44">
        <v>364.48</v>
      </c>
      <c r="L715" s="44">
        <v>359.39499999999998</v>
      </c>
      <c r="M715" s="44">
        <v>363.39</v>
      </c>
      <c r="N715" s="44">
        <v>1494965</v>
      </c>
      <c r="O715" s="44" t="s">
        <v>537</v>
      </c>
      <c r="P715" s="25">
        <f t="shared" si="23"/>
        <v>-2.916976251410297E-3</v>
      </c>
    </row>
    <row r="716" spans="2:16">
      <c r="B716" s="44">
        <v>430.81278190060158</v>
      </c>
      <c r="C716" s="44">
        <v>432.59312194315982</v>
      </c>
      <c r="D716" s="44">
        <v>429.57342916379309</v>
      </c>
      <c r="E716" s="44">
        <v>431.91442877776473</v>
      </c>
      <c r="F716" s="44">
        <v>5269010.787692301</v>
      </c>
      <c r="G716" s="44" t="s">
        <v>538</v>
      </c>
      <c r="H716" s="25">
        <f t="shared" si="24"/>
        <v>-2.5506137414316177E-3</v>
      </c>
      <c r="J716" s="44">
        <v>363.71</v>
      </c>
      <c r="K716" s="44">
        <v>366.86</v>
      </c>
      <c r="L716" s="44">
        <v>360.96</v>
      </c>
      <c r="M716" s="44">
        <v>365</v>
      </c>
      <c r="N716" s="44">
        <v>1456460</v>
      </c>
      <c r="O716" s="44" t="s">
        <v>538</v>
      </c>
      <c r="P716" s="25">
        <f t="shared" si="23"/>
        <v>-3.5342465753425145E-3</v>
      </c>
    </row>
    <row r="717" spans="2:16">
      <c r="B717" s="44">
        <v>430.61605924396531</v>
      </c>
      <c r="C717" s="44">
        <v>432.15541403214417</v>
      </c>
      <c r="D717" s="44">
        <v>426.88816490070798</v>
      </c>
      <c r="E717" s="44">
        <v>431.74721451962387</v>
      </c>
      <c r="F717" s="44">
        <v>4876496.7716643009</v>
      </c>
      <c r="G717" s="44" t="s">
        <v>539</v>
      </c>
      <c r="H717" s="25">
        <f t="shared" si="24"/>
        <v>-2.6199480566819755E-3</v>
      </c>
      <c r="J717" s="44">
        <v>362.31</v>
      </c>
      <c r="K717" s="44">
        <v>366.80040000000002</v>
      </c>
      <c r="L717" s="44">
        <v>357.63</v>
      </c>
      <c r="M717" s="44">
        <v>364.45</v>
      </c>
      <c r="N717" s="44">
        <v>2230616</v>
      </c>
      <c r="O717" s="44" t="s">
        <v>539</v>
      </c>
      <c r="P717" s="25">
        <f t="shared" si="23"/>
        <v>-5.871861709425108E-3</v>
      </c>
    </row>
    <row r="718" spans="2:16">
      <c r="B718" s="44">
        <v>430.76360123644253</v>
      </c>
      <c r="C718" s="44">
        <v>431.54557379657172</v>
      </c>
      <c r="D718" s="44">
        <v>428.34391255981637</v>
      </c>
      <c r="E718" s="44">
        <v>428.62916041193893</v>
      </c>
      <c r="F718" s="44">
        <v>4350125.2709405348</v>
      </c>
      <c r="G718" s="44" t="s">
        <v>540</v>
      </c>
      <c r="H718" s="25">
        <f t="shared" si="24"/>
        <v>4.9796911214632367E-3</v>
      </c>
      <c r="J718" s="44">
        <v>364.45</v>
      </c>
      <c r="K718" s="44">
        <v>364.87</v>
      </c>
      <c r="L718" s="44">
        <v>345.53</v>
      </c>
      <c r="M718" s="44">
        <v>348</v>
      </c>
      <c r="N718" s="44">
        <v>4868411</v>
      </c>
      <c r="O718" s="44" t="s">
        <v>540</v>
      </c>
      <c r="P718" s="25">
        <f t="shared" si="23"/>
        <v>4.7270114942528751E-2</v>
      </c>
    </row>
    <row r="719" spans="2:16">
      <c r="B719" s="44">
        <v>427.94063111371202</v>
      </c>
      <c r="C719" s="44">
        <v>429.27834517883866</v>
      </c>
      <c r="D719" s="44">
        <v>426.06517566667014</v>
      </c>
      <c r="E719" s="44">
        <v>426.51439185309908</v>
      </c>
      <c r="F719" s="44">
        <v>8071837.922237711</v>
      </c>
      <c r="G719" s="44" t="s">
        <v>541</v>
      </c>
      <c r="H719" s="25">
        <f t="shared" si="24"/>
        <v>3.3439417001059901E-3</v>
      </c>
      <c r="J719" s="44">
        <v>330.56</v>
      </c>
      <c r="K719" s="44">
        <v>332.8</v>
      </c>
      <c r="L719" s="44">
        <v>325.76499999999999</v>
      </c>
      <c r="M719" s="44">
        <v>326.02999999999997</v>
      </c>
      <c r="N719" s="44">
        <v>1421605</v>
      </c>
      <c r="O719" s="44" t="s">
        <v>541</v>
      </c>
      <c r="P719" s="25">
        <f t="shared" si="23"/>
        <v>1.3894426893230838E-2</v>
      </c>
    </row>
    <row r="720" spans="2:16">
      <c r="B720" s="44">
        <v>428.98326119388423</v>
      </c>
      <c r="C720" s="44">
        <v>429.12096705352963</v>
      </c>
      <c r="D720" s="44">
        <v>423.31764868275968</v>
      </c>
      <c r="E720" s="44">
        <v>423.39633774541414</v>
      </c>
      <c r="F720" s="44">
        <v>7342684.4914500499</v>
      </c>
      <c r="G720" s="44" t="s">
        <v>542</v>
      </c>
      <c r="H720" s="25">
        <f t="shared" si="24"/>
        <v>1.3195493088628218E-2</v>
      </c>
      <c r="J720" s="44">
        <v>328.86</v>
      </c>
      <c r="K720" s="44">
        <v>329.53</v>
      </c>
      <c r="L720" s="44">
        <v>324.12</v>
      </c>
      <c r="M720" s="44">
        <v>324.5</v>
      </c>
      <c r="N720" s="44">
        <v>1463337</v>
      </c>
      <c r="O720" s="44" t="s">
        <v>542</v>
      </c>
      <c r="P720" s="25">
        <f t="shared" si="23"/>
        <v>1.3436055469953745E-2</v>
      </c>
    </row>
    <row r="721" spans="2:16">
      <c r="B721" s="44">
        <v>422.93403950231897</v>
      </c>
      <c r="C721" s="44">
        <v>425.21602231929967</v>
      </c>
      <c r="D721" s="44">
        <v>421.61599770285591</v>
      </c>
      <c r="E721" s="44">
        <v>422.5504303218782</v>
      </c>
      <c r="F721" s="44">
        <v>5819978.3368973872</v>
      </c>
      <c r="G721" s="44" t="s">
        <v>543</v>
      </c>
      <c r="H721" s="25">
        <f t="shared" si="24"/>
        <v>9.0784236132135376E-4</v>
      </c>
      <c r="J721" s="44">
        <v>322.5</v>
      </c>
      <c r="K721" s="44">
        <v>327.51850000000002</v>
      </c>
      <c r="L721" s="44">
        <v>321.31</v>
      </c>
      <c r="M721" s="44">
        <v>322.55</v>
      </c>
      <c r="N721" s="44">
        <v>1042127</v>
      </c>
      <c r="O721" s="44" t="s">
        <v>543</v>
      </c>
      <c r="P721" s="25">
        <f t="shared" si="23"/>
        <v>-1.5501472639900538E-4</v>
      </c>
    </row>
    <row r="722" spans="2:16">
      <c r="B722" s="44">
        <v>422.39305219656916</v>
      </c>
      <c r="C722" s="44">
        <v>425.68815669522667</v>
      </c>
      <c r="D722" s="44">
        <v>422.17665727426925</v>
      </c>
      <c r="E722" s="44">
        <v>423.27830415143239</v>
      </c>
      <c r="F722" s="44">
        <v>4010985.8899420621</v>
      </c>
      <c r="G722" s="44" t="s">
        <v>544</v>
      </c>
      <c r="H722" s="25">
        <f t="shared" si="24"/>
        <v>-2.0914182139288862E-3</v>
      </c>
      <c r="J722" s="44">
        <v>323.27</v>
      </c>
      <c r="K722" s="44">
        <v>326.40710000000001</v>
      </c>
      <c r="L722" s="44">
        <v>320.26</v>
      </c>
      <c r="M722" s="44">
        <v>320.43</v>
      </c>
      <c r="N722" s="44">
        <v>1471767</v>
      </c>
      <c r="O722" s="44" t="s">
        <v>544</v>
      </c>
      <c r="P722" s="25">
        <f t="shared" si="23"/>
        <v>8.8630902225135255E-3</v>
      </c>
    </row>
    <row r="723" spans="2:16">
      <c r="B723" s="44">
        <v>423.73076626169586</v>
      </c>
      <c r="C723" s="44">
        <v>425.90455161752664</v>
      </c>
      <c r="D723" s="44">
        <v>423.19961508877788</v>
      </c>
      <c r="E723" s="44">
        <v>425.23569458496331</v>
      </c>
      <c r="F723" s="44">
        <v>4885099.7461713459</v>
      </c>
      <c r="G723" s="44" t="s">
        <v>545</v>
      </c>
      <c r="H723" s="25">
        <f t="shared" si="24"/>
        <v>-3.5390451517394172E-3</v>
      </c>
      <c r="J723" s="44">
        <v>322.13</v>
      </c>
      <c r="K723" s="44">
        <v>328.1</v>
      </c>
      <c r="L723" s="44">
        <v>320.68</v>
      </c>
      <c r="M723" s="44">
        <v>328.1</v>
      </c>
      <c r="N723" s="44">
        <v>1596584</v>
      </c>
      <c r="O723" s="44" t="s">
        <v>545</v>
      </c>
      <c r="P723" s="25">
        <f t="shared" si="23"/>
        <v>-1.8195672051203982E-2</v>
      </c>
    </row>
    <row r="724" spans="2:16">
      <c r="B724" s="44">
        <v>426.8980010335398</v>
      </c>
      <c r="C724" s="44">
        <v>428.13735377034828</v>
      </c>
      <c r="D724" s="44">
        <v>425.27503911629054</v>
      </c>
      <c r="E724" s="44">
        <v>426.79963970522169</v>
      </c>
      <c r="F724" s="44">
        <v>9227245.2550100368</v>
      </c>
      <c r="G724" s="44" t="s">
        <v>546</v>
      </c>
      <c r="H724" s="25">
        <f t="shared" si="24"/>
        <v>2.3046253831426888E-4</v>
      </c>
      <c r="J724" s="44">
        <v>330.98</v>
      </c>
      <c r="K724" s="44">
        <v>336.2</v>
      </c>
      <c r="L724" s="44">
        <v>328.38</v>
      </c>
      <c r="M724" s="44">
        <v>333</v>
      </c>
      <c r="N724" s="44">
        <v>1379307</v>
      </c>
      <c r="O724" s="44" t="s">
        <v>546</v>
      </c>
      <c r="P724" s="25">
        <f t="shared" si="23"/>
        <v>-6.0660660660659671E-3</v>
      </c>
    </row>
    <row r="725" spans="2:16">
      <c r="B725" s="44">
        <v>429.64228209361579</v>
      </c>
      <c r="C725" s="44">
        <v>431.15704654971501</v>
      </c>
      <c r="D725" s="44">
        <v>427.81276138689844</v>
      </c>
      <c r="E725" s="44">
        <v>430.69474830661983</v>
      </c>
      <c r="F725" s="44">
        <v>4449802.6560231056</v>
      </c>
      <c r="G725" s="44" t="s">
        <v>547</v>
      </c>
      <c r="H725" s="25">
        <f t="shared" si="24"/>
        <v>-2.4436476579806632E-3</v>
      </c>
      <c r="J725" s="44">
        <v>337.36</v>
      </c>
      <c r="K725" s="44">
        <v>339.26</v>
      </c>
      <c r="L725" s="44">
        <v>336.62</v>
      </c>
      <c r="M725" s="44">
        <v>337.83</v>
      </c>
      <c r="N725" s="44">
        <v>1303314</v>
      </c>
      <c r="O725" s="44" t="s">
        <v>547</v>
      </c>
      <c r="P725" s="25">
        <f t="shared" si="23"/>
        <v>-1.3912322765887719E-3</v>
      </c>
    </row>
    <row r="726" spans="2:16">
      <c r="B726" s="44">
        <v>430.79310963493799</v>
      </c>
      <c r="C726" s="44">
        <v>431.6488531913057</v>
      </c>
      <c r="D726" s="44">
        <v>430.48818951715174</v>
      </c>
      <c r="E726" s="44">
        <v>431.06852135422872</v>
      </c>
      <c r="F726" s="44">
        <v>4782016.5510440329</v>
      </c>
      <c r="G726" s="44" t="s">
        <v>548</v>
      </c>
      <c r="H726" s="25">
        <f t="shared" si="24"/>
        <v>-6.3890473474037535E-4</v>
      </c>
      <c r="J726" s="44">
        <v>338.39</v>
      </c>
      <c r="K726" s="44">
        <v>340.48989999999998</v>
      </c>
      <c r="L726" s="44">
        <v>336.34</v>
      </c>
      <c r="M726" s="44">
        <v>337.01</v>
      </c>
      <c r="N726" s="44">
        <v>740722</v>
      </c>
      <c r="O726" s="44" t="s">
        <v>548</v>
      </c>
      <c r="P726" s="25">
        <f t="shared" si="23"/>
        <v>4.0948339811874845E-3</v>
      </c>
    </row>
    <row r="727" spans="2:16">
      <c r="B727" s="44">
        <v>430.72425670511524</v>
      </c>
      <c r="C727" s="44">
        <v>430.84229029909699</v>
      </c>
      <c r="D727" s="44">
        <v>429.26850904600684</v>
      </c>
      <c r="E727" s="44">
        <v>429.73572535551796</v>
      </c>
      <c r="F727" s="44">
        <v>4342162.7920538438</v>
      </c>
      <c r="G727" s="44" t="s">
        <v>549</v>
      </c>
      <c r="H727" s="25">
        <f t="shared" si="24"/>
        <v>2.3003238764462974E-3</v>
      </c>
      <c r="J727" s="44">
        <v>337.47</v>
      </c>
      <c r="K727" s="44">
        <v>337.67</v>
      </c>
      <c r="L727" s="44">
        <v>335.065</v>
      </c>
      <c r="M727" s="44">
        <v>337</v>
      </c>
      <c r="N727" s="44">
        <v>750000</v>
      </c>
      <c r="O727" s="44" t="s">
        <v>549</v>
      </c>
      <c r="P727" s="25">
        <f t="shared" si="23"/>
        <v>1.3946587537092547E-3</v>
      </c>
    </row>
    <row r="728" spans="2:16">
      <c r="B728" s="44">
        <v>429.93736607857016</v>
      </c>
      <c r="C728" s="44">
        <v>430.74392897077888</v>
      </c>
      <c r="D728" s="44">
        <v>428.44227388813448</v>
      </c>
      <c r="E728" s="44">
        <v>428.52647118517484</v>
      </c>
      <c r="F728" s="44">
        <v>3899740.9506239491</v>
      </c>
      <c r="G728" s="44" t="s">
        <v>550</v>
      </c>
      <c r="H728" s="25">
        <f t="shared" si="24"/>
        <v>3.2924334627291163E-3</v>
      </c>
      <c r="J728" s="44">
        <v>337.39</v>
      </c>
      <c r="K728" s="44">
        <v>338.34500000000003</v>
      </c>
      <c r="L728" s="44">
        <v>335.21</v>
      </c>
      <c r="M728" s="44">
        <v>336.92</v>
      </c>
      <c r="N728" s="44">
        <v>736795</v>
      </c>
      <c r="O728" s="44" t="s">
        <v>550</v>
      </c>
      <c r="P728" s="25">
        <f t="shared" si="23"/>
        <v>1.3949899085834438E-3</v>
      </c>
    </row>
    <row r="729" spans="2:16">
      <c r="B729" s="44">
        <v>428.15702603601193</v>
      </c>
      <c r="C729" s="44">
        <v>429.67965939837666</v>
      </c>
      <c r="D729" s="44">
        <v>426.37668599345369</v>
      </c>
      <c r="E729" s="44">
        <v>428.32424029415273</v>
      </c>
      <c r="F729" s="44">
        <v>4105098.0797455548</v>
      </c>
      <c r="G729" s="44" t="s">
        <v>551</v>
      </c>
      <c r="H729" s="25">
        <f t="shared" si="24"/>
        <v>-3.9039176962285538E-4</v>
      </c>
      <c r="J729" s="44">
        <v>336.26</v>
      </c>
      <c r="K729" s="44">
        <v>337.06</v>
      </c>
      <c r="L729" s="44">
        <v>333.46</v>
      </c>
      <c r="M729" s="44">
        <v>334.52</v>
      </c>
      <c r="N729" s="44">
        <v>1025099</v>
      </c>
      <c r="O729" s="44" t="s">
        <v>551</v>
      </c>
      <c r="P729" s="25">
        <f t="shared" si="23"/>
        <v>5.2014827215114412E-3</v>
      </c>
    </row>
    <row r="730" spans="2:16">
      <c r="B730" s="44">
        <v>427.16357661999871</v>
      </c>
      <c r="C730" s="44">
        <v>427.51767740194401</v>
      </c>
      <c r="D730" s="44">
        <v>423.79489784775927</v>
      </c>
      <c r="E730" s="44">
        <v>426.03242134434021</v>
      </c>
      <c r="F730" s="44">
        <v>4698600.6381004583</v>
      </c>
      <c r="G730" s="44" t="s">
        <v>552</v>
      </c>
      <c r="H730" s="25">
        <f t="shared" si="24"/>
        <v>2.6550920047097026E-3</v>
      </c>
      <c r="J730" s="44">
        <v>333.45</v>
      </c>
      <c r="K730" s="44">
        <v>333.98</v>
      </c>
      <c r="L730" s="44">
        <v>327.52999999999997</v>
      </c>
      <c r="M730" s="44">
        <v>328.97</v>
      </c>
      <c r="N730" s="44">
        <v>1969692</v>
      </c>
      <c r="O730" s="44" t="s">
        <v>552</v>
      </c>
      <c r="P730" s="25">
        <f t="shared" si="23"/>
        <v>1.3618263063501113E-2</v>
      </c>
    </row>
    <row r="731" spans="2:16">
      <c r="B731" s="44">
        <v>423.04223696346884</v>
      </c>
      <c r="C731" s="44">
        <v>430.13900680162237</v>
      </c>
      <c r="D731" s="44">
        <v>422.85535043966439</v>
      </c>
      <c r="E731" s="44">
        <v>428.37342095831178</v>
      </c>
      <c r="F731" s="44">
        <v>5879581.0293400744</v>
      </c>
      <c r="G731" s="44" t="s">
        <v>553</v>
      </c>
      <c r="H731" s="25">
        <f t="shared" si="24"/>
        <v>-1.2445179215173074E-2</v>
      </c>
      <c r="J731" s="44">
        <v>325.43</v>
      </c>
      <c r="K731" s="44">
        <v>334.05</v>
      </c>
      <c r="L731" s="44">
        <v>325.26</v>
      </c>
      <c r="M731" s="44">
        <v>334.05</v>
      </c>
      <c r="N731" s="44">
        <v>1845639</v>
      </c>
      <c r="O731" s="44" t="s">
        <v>553</v>
      </c>
      <c r="P731" s="25">
        <f t="shared" si="23"/>
        <v>-2.5804520281395016E-2</v>
      </c>
    </row>
    <row r="732" spans="2:16">
      <c r="B732" s="44">
        <v>429.23791867290009</v>
      </c>
      <c r="C732" s="44">
        <v>429.2673057825105</v>
      </c>
      <c r="D732" s="44">
        <v>427.04368115532253</v>
      </c>
      <c r="E732" s="44">
        <v>427.13184248415382</v>
      </c>
      <c r="F732" s="44">
        <v>4146213.8201173837</v>
      </c>
      <c r="G732" s="44" t="s">
        <v>554</v>
      </c>
      <c r="H732" s="25">
        <f t="shared" si="24"/>
        <v>4.9307402990550475E-3</v>
      </c>
      <c r="J732" s="44">
        <v>335.72</v>
      </c>
      <c r="K732" s="44">
        <v>336.58</v>
      </c>
      <c r="L732" s="44">
        <v>328</v>
      </c>
      <c r="M732" s="44">
        <v>328.42</v>
      </c>
      <c r="N732" s="44">
        <v>2276743</v>
      </c>
      <c r="O732" s="44" t="s">
        <v>554</v>
      </c>
      <c r="P732" s="25">
        <f t="shared" si="23"/>
        <v>2.2227635344985064E-2</v>
      </c>
    </row>
    <row r="733" spans="2:16">
      <c r="B733" s="44">
        <v>426.64205732398028</v>
      </c>
      <c r="C733" s="44">
        <v>427.48448779947876</v>
      </c>
      <c r="D733" s="44">
        <v>425.57432567480186</v>
      </c>
      <c r="E733" s="44">
        <v>425.76044403566783</v>
      </c>
      <c r="F733" s="44">
        <v>4369747.5424563875</v>
      </c>
      <c r="G733" s="44" t="s">
        <v>555</v>
      </c>
      <c r="H733" s="25">
        <f t="shared" si="24"/>
        <v>2.0706791827720394E-3</v>
      </c>
      <c r="J733" s="44">
        <v>328.42</v>
      </c>
      <c r="K733" s="44">
        <v>331.99</v>
      </c>
      <c r="L733" s="44">
        <v>325.01</v>
      </c>
      <c r="M733" s="44">
        <v>325.73</v>
      </c>
      <c r="N733" s="44">
        <v>1937882</v>
      </c>
      <c r="O733" s="44" t="s">
        <v>555</v>
      </c>
      <c r="P733" s="25">
        <f t="shared" si="23"/>
        <v>8.2583734995240743E-3</v>
      </c>
    </row>
    <row r="734" spans="2:16">
      <c r="B734" s="44">
        <v>424.24211003912978</v>
      </c>
      <c r="C734" s="44">
        <v>425.37841161073248</v>
      </c>
      <c r="D734" s="44">
        <v>423.40947526683476</v>
      </c>
      <c r="E734" s="44">
        <v>424.34006707116453</v>
      </c>
      <c r="F734" s="44">
        <v>5437119.6119056791</v>
      </c>
      <c r="G734" s="44" t="s">
        <v>556</v>
      </c>
      <c r="H734" s="25">
        <f t="shared" si="24"/>
        <v>-2.3084558738661887E-4</v>
      </c>
      <c r="J734" s="44">
        <v>324.35000000000002</v>
      </c>
      <c r="K734" s="44">
        <v>327</v>
      </c>
      <c r="L734" s="44">
        <v>322.58999999999997</v>
      </c>
      <c r="M734" s="44">
        <v>325.83</v>
      </c>
      <c r="N734" s="44">
        <v>3637298</v>
      </c>
      <c r="O734" s="44" t="s">
        <v>556</v>
      </c>
      <c r="P734" s="25">
        <f t="shared" si="23"/>
        <v>-4.5422459564802287E-3</v>
      </c>
    </row>
    <row r="735" spans="2:16">
      <c r="B735" s="44">
        <v>424.88862645055889</v>
      </c>
      <c r="C735" s="44">
        <v>426.46984886166319</v>
      </c>
      <c r="D735" s="44">
        <v>422.42990494648768</v>
      </c>
      <c r="E735" s="44">
        <v>425.34902450112207</v>
      </c>
      <c r="F735" s="44">
        <v>8523270.6897872202</v>
      </c>
      <c r="G735" s="44" t="s">
        <v>557</v>
      </c>
      <c r="H735" s="25">
        <f t="shared" si="24"/>
        <v>-1.082400626410629E-3</v>
      </c>
      <c r="J735" s="44">
        <v>326.18</v>
      </c>
      <c r="K735" s="44">
        <v>332.61</v>
      </c>
      <c r="L735" s="44">
        <v>324.83</v>
      </c>
      <c r="M735" s="44">
        <v>330</v>
      </c>
      <c r="N735" s="44">
        <v>2068912</v>
      </c>
      <c r="O735" s="44" t="s">
        <v>557</v>
      </c>
      <c r="P735" s="25">
        <f t="shared" si="23"/>
        <v>-1.1575757575757573E-2</v>
      </c>
    </row>
    <row r="736" spans="2:16">
      <c r="B736" s="44">
        <v>423.64457214371811</v>
      </c>
      <c r="C736" s="44">
        <v>423.7719162853632</v>
      </c>
      <c r="D736" s="44">
        <v>417.79653733124582</v>
      </c>
      <c r="E736" s="44">
        <v>418.15897834977426</v>
      </c>
      <c r="F736" s="44">
        <v>8839708.4110629745</v>
      </c>
      <c r="G736" s="44" t="s">
        <v>558</v>
      </c>
      <c r="H736" s="25">
        <f t="shared" si="24"/>
        <v>1.311844077961033E-2</v>
      </c>
      <c r="J736" s="44">
        <v>328.96</v>
      </c>
      <c r="K736" s="44">
        <v>329.45</v>
      </c>
      <c r="L736" s="44">
        <v>320.22000000000003</v>
      </c>
      <c r="M736" s="44">
        <v>320.68</v>
      </c>
      <c r="N736" s="44">
        <v>1446993</v>
      </c>
      <c r="O736" s="44" t="s">
        <v>558</v>
      </c>
      <c r="P736" s="25">
        <f t="shared" si="23"/>
        <v>2.5820132219034564E-2</v>
      </c>
    </row>
    <row r="737" spans="2:16">
      <c r="B737" s="44">
        <v>417.95326858250138</v>
      </c>
      <c r="C737" s="44">
        <v>417.95326858250138</v>
      </c>
      <c r="D737" s="44">
        <v>414.62654981757061</v>
      </c>
      <c r="E737" s="44">
        <v>415.553321297651</v>
      </c>
      <c r="F737" s="44">
        <v>6107327.7494566049</v>
      </c>
      <c r="G737" s="44" t="s">
        <v>559</v>
      </c>
      <c r="H737" s="25">
        <f t="shared" si="24"/>
        <v>5.7753052661353443E-3</v>
      </c>
      <c r="J737" s="44">
        <v>320.70999999999998</v>
      </c>
      <c r="K737" s="44">
        <v>321.36</v>
      </c>
      <c r="L737" s="44">
        <v>314.38</v>
      </c>
      <c r="M737" s="44">
        <v>316.96499999999997</v>
      </c>
      <c r="N737" s="44">
        <v>1371293</v>
      </c>
      <c r="O737" s="44" t="s">
        <v>559</v>
      </c>
      <c r="P737" s="25">
        <f t="shared" si="23"/>
        <v>1.1815184641837506E-2</v>
      </c>
    </row>
    <row r="738" spans="2:16">
      <c r="B738" s="44">
        <v>415.88637520656897</v>
      </c>
      <c r="C738" s="44">
        <v>416.03331075462103</v>
      </c>
      <c r="D738" s="44">
        <v>413.59418065695678</v>
      </c>
      <c r="E738" s="44">
        <v>413.7802990178227</v>
      </c>
      <c r="F738" s="44">
        <v>5356517.9456853075</v>
      </c>
      <c r="G738" s="44" t="s">
        <v>560</v>
      </c>
      <c r="H738" s="25">
        <f t="shared" si="24"/>
        <v>5.0898416230675814E-3</v>
      </c>
      <c r="J738" s="44">
        <v>315.43</v>
      </c>
      <c r="K738" s="44">
        <v>319.8</v>
      </c>
      <c r="L738" s="44">
        <v>309.8</v>
      </c>
      <c r="M738" s="44">
        <v>310</v>
      </c>
      <c r="N738" s="44">
        <v>1731147</v>
      </c>
      <c r="O738" s="44" t="s">
        <v>560</v>
      </c>
      <c r="P738" s="25">
        <f t="shared" si="23"/>
        <v>1.7516129032258076E-2</v>
      </c>
    </row>
    <row r="739" spans="2:16">
      <c r="B739" s="44">
        <v>414.27987988119975</v>
      </c>
      <c r="C739" s="44">
        <v>414.72068652535592</v>
      </c>
      <c r="D739" s="44">
        <v>411.56647009383818</v>
      </c>
      <c r="E739" s="44">
        <v>411.78197556431456</v>
      </c>
      <c r="F739" s="44">
        <v>5232169.5477501424</v>
      </c>
      <c r="G739" s="44" t="s">
        <v>561</v>
      </c>
      <c r="H739" s="25">
        <f t="shared" si="24"/>
        <v>6.0660846397222468E-3</v>
      </c>
      <c r="J739" s="44">
        <v>310.42</v>
      </c>
      <c r="K739" s="44">
        <v>312.88</v>
      </c>
      <c r="L739" s="44">
        <v>308.58</v>
      </c>
      <c r="M739" s="44">
        <v>310.52</v>
      </c>
      <c r="N739" s="44">
        <v>1222954</v>
      </c>
      <c r="O739" s="44" t="s">
        <v>561</v>
      </c>
      <c r="P739" s="25">
        <f t="shared" si="23"/>
        <v>-3.2204044828021416E-4</v>
      </c>
    </row>
    <row r="740" spans="2:16">
      <c r="B740" s="44">
        <v>412.52644900777841</v>
      </c>
      <c r="C740" s="44">
        <v>413.05541698076587</v>
      </c>
      <c r="D740" s="44">
        <v>410.71424391513619</v>
      </c>
      <c r="E740" s="44">
        <v>411.2334161849202</v>
      </c>
      <c r="F740" s="44">
        <v>3315995.7305045594</v>
      </c>
      <c r="G740" s="44" t="s">
        <v>562</v>
      </c>
      <c r="H740" s="25">
        <f t="shared" si="24"/>
        <v>3.1442795550369329E-3</v>
      </c>
      <c r="J740" s="44">
        <v>311.56</v>
      </c>
      <c r="K740" s="44">
        <v>312.745</v>
      </c>
      <c r="L740" s="44">
        <v>307.72000000000003</v>
      </c>
      <c r="M740" s="44">
        <v>310.97000000000003</v>
      </c>
      <c r="N740" s="44">
        <v>1313392</v>
      </c>
      <c r="O740" s="44" t="s">
        <v>562</v>
      </c>
      <c r="P740" s="25">
        <f t="shared" si="23"/>
        <v>1.897289127568591E-3</v>
      </c>
    </row>
    <row r="741" spans="2:16">
      <c r="B741" s="44">
        <v>409.32325406024336</v>
      </c>
      <c r="C741" s="44">
        <v>413.05541698076587</v>
      </c>
      <c r="D741" s="44">
        <v>408.9314259321045</v>
      </c>
      <c r="E741" s="44">
        <v>412.99664276154499</v>
      </c>
      <c r="F741" s="44">
        <v>4289432.7367034713</v>
      </c>
      <c r="G741" s="44" t="s">
        <v>563</v>
      </c>
      <c r="H741" s="25">
        <f t="shared" si="24"/>
        <v>-8.8944759374777194E-3</v>
      </c>
      <c r="J741" s="44">
        <v>310.26</v>
      </c>
      <c r="K741" s="44">
        <v>313.60000000000002</v>
      </c>
      <c r="L741" s="44">
        <v>308.61009999999999</v>
      </c>
      <c r="M741" s="44">
        <v>311.39</v>
      </c>
      <c r="N741" s="44">
        <v>1182695</v>
      </c>
      <c r="O741" s="44" t="s">
        <v>563</v>
      </c>
      <c r="P741" s="25">
        <f t="shared" si="23"/>
        <v>-3.6288898166286776E-3</v>
      </c>
    </row>
    <row r="742" spans="2:16">
      <c r="B742" s="44">
        <v>411.03750212085077</v>
      </c>
      <c r="C742" s="44">
        <v>411.87993259634931</v>
      </c>
      <c r="D742" s="44">
        <v>409.46039390509196</v>
      </c>
      <c r="E742" s="44">
        <v>409.79344781400994</v>
      </c>
      <c r="F742" s="44">
        <v>3490594.7321764301</v>
      </c>
      <c r="G742" s="44" t="s">
        <v>564</v>
      </c>
      <c r="H742" s="25">
        <f t="shared" si="24"/>
        <v>3.0358081942918336E-3</v>
      </c>
      <c r="J742" s="44">
        <v>309.52</v>
      </c>
      <c r="K742" s="44">
        <v>312</v>
      </c>
      <c r="L742" s="44">
        <v>304.5</v>
      </c>
      <c r="M742" s="44">
        <v>312</v>
      </c>
      <c r="N742" s="44">
        <v>1246409</v>
      </c>
      <c r="O742" s="44" t="s">
        <v>564</v>
      </c>
      <c r="P742" s="25">
        <f t="shared" si="23"/>
        <v>-7.9487179487179871E-3</v>
      </c>
    </row>
    <row r="743" spans="2:16">
      <c r="B743" s="44">
        <v>411.16484626249593</v>
      </c>
      <c r="C743" s="44">
        <v>411.29219040414102</v>
      </c>
      <c r="D743" s="44">
        <v>408.97060874491837</v>
      </c>
      <c r="E743" s="44">
        <v>410.09711461331756</v>
      </c>
      <c r="F743" s="44">
        <v>5927169.1673371857</v>
      </c>
      <c r="G743" s="44" t="s">
        <v>565</v>
      </c>
      <c r="H743" s="25">
        <f t="shared" si="24"/>
        <v>2.6036068314820859E-3</v>
      </c>
      <c r="J743" s="44">
        <v>311.83999999999997</v>
      </c>
      <c r="K743" s="44">
        <v>315.93</v>
      </c>
      <c r="L743" s="44">
        <v>308.91000000000003</v>
      </c>
      <c r="M743" s="44">
        <v>311.92</v>
      </c>
      <c r="N743" s="44">
        <v>1431186</v>
      </c>
      <c r="O743" s="44" t="s">
        <v>565</v>
      </c>
      <c r="P743" s="25">
        <f t="shared" si="23"/>
        <v>-2.5647601949230214E-4</v>
      </c>
    </row>
    <row r="744" spans="2:16">
      <c r="B744" s="44">
        <v>413.24153534163179</v>
      </c>
      <c r="C744" s="44">
        <v>413.74111620500884</v>
      </c>
      <c r="D744" s="44">
        <v>409.7052864851787</v>
      </c>
      <c r="E744" s="44">
        <v>410.27343727098003</v>
      </c>
      <c r="F744" s="44">
        <v>5077353.7097751191</v>
      </c>
      <c r="G744" s="44" t="s">
        <v>566</v>
      </c>
      <c r="H744" s="25">
        <f t="shared" si="24"/>
        <v>7.2344387937828269E-3</v>
      </c>
      <c r="J744" s="44">
        <v>315.2</v>
      </c>
      <c r="K744" s="44">
        <v>315.64</v>
      </c>
      <c r="L744" s="44">
        <v>308.73</v>
      </c>
      <c r="M744" s="44">
        <v>310.58999999999997</v>
      </c>
      <c r="N744" s="44">
        <v>1388826</v>
      </c>
      <c r="O744" s="44" t="s">
        <v>566</v>
      </c>
      <c r="P744" s="25">
        <f t="shared" si="23"/>
        <v>1.4842718696674195E-2</v>
      </c>
    </row>
    <row r="745" spans="2:16">
      <c r="B745" s="44">
        <v>410.83179235357784</v>
      </c>
      <c r="C745" s="44">
        <v>411.12566344968201</v>
      </c>
      <c r="D745" s="44">
        <v>408.05960834699556</v>
      </c>
      <c r="E745" s="44">
        <v>409.98936187807942</v>
      </c>
      <c r="F745" s="44">
        <v>4497573.9959524777</v>
      </c>
      <c r="G745" s="44" t="s">
        <v>567</v>
      </c>
      <c r="H745" s="25">
        <f t="shared" si="24"/>
        <v>2.0547617909874027E-3</v>
      </c>
      <c r="J745" s="44">
        <v>310.83999999999997</v>
      </c>
      <c r="K745" s="44">
        <v>311.99</v>
      </c>
      <c r="L745" s="44">
        <v>304.7</v>
      </c>
      <c r="M745" s="44">
        <v>310.76</v>
      </c>
      <c r="N745" s="44">
        <v>2437496</v>
      </c>
      <c r="O745" s="44" t="s">
        <v>567</v>
      </c>
      <c r="P745" s="25">
        <f t="shared" si="23"/>
        <v>2.5743338911055069E-4</v>
      </c>
    </row>
    <row r="746" spans="2:16">
      <c r="B746" s="44">
        <v>409.24488843461552</v>
      </c>
      <c r="C746" s="44">
        <v>412.5166533045749</v>
      </c>
      <c r="D746" s="44">
        <v>408.83836675167151</v>
      </c>
      <c r="E746" s="44">
        <v>411.47772102281476</v>
      </c>
      <c r="F746" s="44">
        <v>4177972.6426886683</v>
      </c>
      <c r="G746" s="44" t="s">
        <v>568</v>
      </c>
      <c r="H746" s="25">
        <f t="shared" si="24"/>
        <v>-5.4263754126203656E-3</v>
      </c>
      <c r="J746" s="44">
        <v>310.76</v>
      </c>
      <c r="K746" s="44">
        <v>316.30500000000001</v>
      </c>
      <c r="L746" s="44">
        <v>309.96499999999997</v>
      </c>
      <c r="M746" s="44">
        <v>312</v>
      </c>
      <c r="N746" s="44">
        <v>1389053</v>
      </c>
      <c r="O746" s="44" t="s">
        <v>568</v>
      </c>
      <c r="P746" s="25">
        <f t="shared" si="23"/>
        <v>-3.9743589743590491E-3</v>
      </c>
    </row>
    <row r="747" spans="2:16">
      <c r="B747" s="44">
        <v>409.50937242110928</v>
      </c>
      <c r="C747" s="44">
        <v>410.68485680552584</v>
      </c>
      <c r="D747" s="44">
        <v>408.19674819184416</v>
      </c>
      <c r="E747" s="44">
        <v>408.72571616483162</v>
      </c>
      <c r="F747" s="44">
        <v>3452985.3852671185</v>
      </c>
      <c r="G747" s="44" t="s">
        <v>569</v>
      </c>
      <c r="H747" s="25">
        <f t="shared" si="24"/>
        <v>1.9173157579388533E-3</v>
      </c>
      <c r="J747" s="44">
        <v>310.95</v>
      </c>
      <c r="K747" s="44">
        <v>312.76</v>
      </c>
      <c r="L747" s="44">
        <v>309.26</v>
      </c>
      <c r="M747" s="44">
        <v>311.83999999999997</v>
      </c>
      <c r="N747" s="44">
        <v>1558995</v>
      </c>
      <c r="O747" s="44" t="s">
        <v>569</v>
      </c>
      <c r="P747" s="25">
        <f t="shared" si="23"/>
        <v>-2.8540277065161046E-3</v>
      </c>
    </row>
    <row r="748" spans="2:16">
      <c r="B748" s="44">
        <v>409.10774858976697</v>
      </c>
      <c r="C748" s="44">
        <v>409.97692133501101</v>
      </c>
      <c r="D748" s="44">
        <v>408.70612475842466</v>
      </c>
      <c r="E748" s="44">
        <v>409.25468413781908</v>
      </c>
      <c r="F748" s="44">
        <v>3708311.6184173571</v>
      </c>
      <c r="G748" s="44" t="s">
        <v>570</v>
      </c>
      <c r="H748" s="25">
        <f t="shared" si="24"/>
        <v>-3.5903204959442103E-4</v>
      </c>
      <c r="J748" s="44">
        <v>314.98</v>
      </c>
      <c r="K748" s="44">
        <v>316</v>
      </c>
      <c r="L748" s="44">
        <v>312.02</v>
      </c>
      <c r="M748" s="44">
        <v>314.68</v>
      </c>
      <c r="N748" s="44">
        <v>1084261</v>
      </c>
      <c r="O748" s="44" t="s">
        <v>570</v>
      </c>
      <c r="P748" s="25">
        <f t="shared" ref="P748:P811" si="25">J748/M748-1</f>
        <v>9.5334943434610686E-4</v>
      </c>
    </row>
    <row r="749" spans="2:16">
      <c r="B749" s="44">
        <v>409.82283492362035</v>
      </c>
      <c r="C749" s="44">
        <v>409.94038336206205</v>
      </c>
      <c r="D749" s="44">
        <v>409.3036626538364</v>
      </c>
      <c r="E749" s="44">
        <v>409.64651226595788</v>
      </c>
      <c r="F749" s="44">
        <v>1379453.7992139023</v>
      </c>
      <c r="G749" s="44" t="s">
        <v>571</v>
      </c>
      <c r="H749" s="25">
        <f t="shared" si="24"/>
        <v>4.304263612233683E-4</v>
      </c>
      <c r="J749" s="44">
        <v>318.01</v>
      </c>
      <c r="K749" s="44">
        <v>318.26</v>
      </c>
      <c r="L749" s="44">
        <v>316</v>
      </c>
      <c r="M749" s="44">
        <v>316.95</v>
      </c>
      <c r="N749" s="44">
        <v>601268</v>
      </c>
      <c r="O749" s="44" t="s">
        <v>571</v>
      </c>
      <c r="P749" s="25">
        <f t="shared" si="25"/>
        <v>3.3443760845559556E-3</v>
      </c>
    </row>
    <row r="750" spans="2:16">
      <c r="B750" s="44">
        <v>409.59753374994051</v>
      </c>
      <c r="C750" s="44">
        <v>410.74363102474666</v>
      </c>
      <c r="D750" s="44">
        <v>408.53959780396565</v>
      </c>
      <c r="E750" s="44">
        <v>409.52896382751624</v>
      </c>
      <c r="F750" s="44">
        <v>3771106.4976846292</v>
      </c>
      <c r="G750" s="44" t="s">
        <v>572</v>
      </c>
      <c r="H750" s="25">
        <f t="shared" si="24"/>
        <v>1.6743607529834392E-4</v>
      </c>
      <c r="J750" s="44">
        <v>315.8</v>
      </c>
      <c r="K750" s="44">
        <v>317.39</v>
      </c>
      <c r="L750" s="44">
        <v>313.92</v>
      </c>
      <c r="M750" s="44">
        <v>315</v>
      </c>
      <c r="N750" s="44">
        <v>1199862</v>
      </c>
      <c r="O750" s="44" t="s">
        <v>572</v>
      </c>
      <c r="P750" s="25">
        <f t="shared" si="25"/>
        <v>2.5396825396826195E-3</v>
      </c>
    </row>
    <row r="751" spans="2:16">
      <c r="B751" s="44">
        <v>407.83430717331572</v>
      </c>
      <c r="C751" s="44">
        <v>408.32409233348926</v>
      </c>
      <c r="D751" s="44">
        <v>406.81555404015472</v>
      </c>
      <c r="E751" s="44">
        <v>407.89308139253654</v>
      </c>
      <c r="F751" s="44">
        <v>5357641.9078727392</v>
      </c>
      <c r="G751" s="44" t="s">
        <v>573</v>
      </c>
      <c r="H751" s="25">
        <f t="shared" si="24"/>
        <v>-1.4409221902011993E-4</v>
      </c>
      <c r="J751" s="44">
        <v>311.82</v>
      </c>
      <c r="K751" s="44">
        <v>312.22000000000003</v>
      </c>
      <c r="L751" s="44">
        <v>308.85000000000002</v>
      </c>
      <c r="M751" s="44">
        <v>311</v>
      </c>
      <c r="N751" s="44">
        <v>1461585</v>
      </c>
      <c r="O751" s="44" t="s">
        <v>573</v>
      </c>
      <c r="P751" s="25">
        <f t="shared" si="25"/>
        <v>2.6366559485531127E-3</v>
      </c>
    </row>
    <row r="752" spans="2:16">
      <c r="B752" s="44">
        <v>408.90203882249409</v>
      </c>
      <c r="C752" s="44">
        <v>409.65630796916133</v>
      </c>
      <c r="D752" s="44">
        <v>405.52242326026453</v>
      </c>
      <c r="E752" s="44">
        <v>405.53231692050002</v>
      </c>
      <c r="F752" s="44">
        <v>3597916.2769561326</v>
      </c>
      <c r="G752" s="44" t="s">
        <v>574</v>
      </c>
      <c r="H752" s="25">
        <f t="shared" si="24"/>
        <v>8.3093794536099885E-3</v>
      </c>
      <c r="J752" s="44">
        <v>311.33999999999997</v>
      </c>
      <c r="K752" s="44">
        <v>312.2</v>
      </c>
      <c r="L752" s="44">
        <v>305</v>
      </c>
      <c r="M752" s="44">
        <v>305.44</v>
      </c>
      <c r="N752" s="44">
        <v>1746309</v>
      </c>
      <c r="O752" s="44" t="s">
        <v>574</v>
      </c>
      <c r="P752" s="25">
        <f t="shared" si="25"/>
        <v>1.931639601885804E-2</v>
      </c>
    </row>
    <row r="753" spans="2:16">
      <c r="B753" s="44">
        <v>405.84577942301109</v>
      </c>
      <c r="C753" s="44">
        <v>406.31597317677773</v>
      </c>
      <c r="D753" s="44">
        <v>404.43519816171124</v>
      </c>
      <c r="E753" s="44">
        <v>405.48333840448265</v>
      </c>
      <c r="F753" s="44">
        <v>4798163.9524710281</v>
      </c>
      <c r="G753" s="44" t="s">
        <v>575</v>
      </c>
      <c r="H753" s="25">
        <f t="shared" si="24"/>
        <v>8.9384935014735767E-4</v>
      </c>
      <c r="J753" s="44">
        <v>305.27999999999997</v>
      </c>
      <c r="K753" s="44">
        <v>311.23500000000001</v>
      </c>
      <c r="L753" s="44">
        <v>304.61500000000001</v>
      </c>
      <c r="M753" s="44">
        <v>306.33999999999997</v>
      </c>
      <c r="N753" s="44">
        <v>2993483</v>
      </c>
      <c r="O753" s="44" t="s">
        <v>575</v>
      </c>
      <c r="P753" s="25">
        <f t="shared" si="25"/>
        <v>-3.4602076124568004E-3</v>
      </c>
    </row>
    <row r="754" spans="2:16">
      <c r="B754" s="44">
        <v>405.24824152759936</v>
      </c>
      <c r="C754" s="44">
        <v>405.4931341076861</v>
      </c>
      <c r="D754" s="44">
        <v>403.33807940292252</v>
      </c>
      <c r="E754" s="44">
        <v>404.30785402006615</v>
      </c>
      <c r="F754" s="44">
        <v>3878117.7023144872</v>
      </c>
      <c r="G754" s="44" t="s">
        <v>576</v>
      </c>
      <c r="H754" s="25">
        <f t="shared" si="24"/>
        <v>2.3259194650384618E-3</v>
      </c>
      <c r="J754" s="44">
        <v>303.95</v>
      </c>
      <c r="K754" s="44">
        <v>305.3</v>
      </c>
      <c r="L754" s="44">
        <v>295.02</v>
      </c>
      <c r="M754" s="44">
        <v>296.79000000000002</v>
      </c>
      <c r="N754" s="44">
        <v>2296070</v>
      </c>
      <c r="O754" s="44" t="s">
        <v>576</v>
      </c>
      <c r="P754" s="25">
        <f t="shared" si="25"/>
        <v>2.4124802048586469E-2</v>
      </c>
    </row>
    <row r="755" spans="2:16">
      <c r="B755" s="44">
        <v>404.68009074179804</v>
      </c>
      <c r="C755" s="44">
        <v>406.24740325435346</v>
      </c>
      <c r="D755" s="44">
        <v>403.9454130015377</v>
      </c>
      <c r="E755" s="44">
        <v>405.09151027634385</v>
      </c>
      <c r="F755" s="44">
        <v>4506881.1378805526</v>
      </c>
      <c r="G755" s="44" t="s">
        <v>577</v>
      </c>
      <c r="H755" s="25">
        <f t="shared" si="24"/>
        <v>-1.0156212216473337E-3</v>
      </c>
      <c r="J755" s="44">
        <v>293.22000000000003</v>
      </c>
      <c r="K755" s="44">
        <v>297.33999999999997</v>
      </c>
      <c r="L755" s="44">
        <v>291.39</v>
      </c>
      <c r="M755" s="44">
        <v>291.39</v>
      </c>
      <c r="N755" s="44">
        <v>1889778</v>
      </c>
      <c r="O755" s="44" t="s">
        <v>577</v>
      </c>
      <c r="P755" s="25">
        <f t="shared" si="25"/>
        <v>6.2802429733348486E-3</v>
      </c>
    </row>
    <row r="756" spans="2:16">
      <c r="B756" s="44">
        <v>403.79847745348565</v>
      </c>
      <c r="C756" s="44">
        <v>405.06212316673339</v>
      </c>
      <c r="D756" s="44">
        <v>401.51176849766733</v>
      </c>
      <c r="E756" s="44">
        <v>401.66301415512896</v>
      </c>
      <c r="F756" s="44">
        <v>7118544.5854760921</v>
      </c>
      <c r="G756" s="44" t="s">
        <v>578</v>
      </c>
      <c r="H756" s="25">
        <f t="shared" si="24"/>
        <v>5.3165544824895772E-3</v>
      </c>
      <c r="J756" s="44">
        <v>291.62</v>
      </c>
      <c r="K756" s="44">
        <v>294.13499999999999</v>
      </c>
      <c r="L756" s="44">
        <v>287.98</v>
      </c>
      <c r="M756" s="44">
        <v>288.37</v>
      </c>
      <c r="N756" s="44">
        <v>1847810</v>
      </c>
      <c r="O756" s="44" t="s">
        <v>578</v>
      </c>
      <c r="P756" s="25">
        <f t="shared" si="25"/>
        <v>1.1270243090474086E-2</v>
      </c>
    </row>
    <row r="757" spans="2:16">
      <c r="B757" s="44">
        <v>396.18721606438856</v>
      </c>
      <c r="C757" s="44">
        <v>397.20596919754962</v>
      </c>
      <c r="D757" s="44">
        <v>394.59051644222279</v>
      </c>
      <c r="E757" s="44">
        <v>395.34478558889003</v>
      </c>
      <c r="F757" s="44">
        <v>2932858.3566945717</v>
      </c>
      <c r="G757" s="44" t="s">
        <v>579</v>
      </c>
      <c r="H757" s="25">
        <f t="shared" si="24"/>
        <v>2.1308753933446667E-3</v>
      </c>
      <c r="J757" s="44">
        <v>282.48</v>
      </c>
      <c r="K757" s="44">
        <v>289.99</v>
      </c>
      <c r="L757" s="44">
        <v>281.12</v>
      </c>
      <c r="M757" s="44">
        <v>285.32799999999997</v>
      </c>
      <c r="N757" s="44">
        <v>1772734</v>
      </c>
      <c r="O757" s="44" t="s">
        <v>579</v>
      </c>
      <c r="P757" s="25">
        <f t="shared" si="25"/>
        <v>-9.9814949812144782E-3</v>
      </c>
    </row>
    <row r="758" spans="2:16">
      <c r="B758" s="44">
        <v>396.58883989573093</v>
      </c>
      <c r="C758" s="44">
        <v>396.83275290549733</v>
      </c>
      <c r="D758" s="44">
        <v>390.98569766334543</v>
      </c>
      <c r="E758" s="44">
        <v>392.40607462784874</v>
      </c>
      <c r="F758" s="44">
        <v>4077746.0454136403</v>
      </c>
      <c r="G758" s="44" t="s">
        <v>580</v>
      </c>
      <c r="H758" s="25">
        <f t="shared" si="24"/>
        <v>1.065927756559093E-2</v>
      </c>
      <c r="J758" s="44">
        <v>277.49</v>
      </c>
      <c r="K758" s="44">
        <v>278.55</v>
      </c>
      <c r="L758" s="44">
        <v>269.49</v>
      </c>
      <c r="M758" s="44">
        <v>273.41000000000003</v>
      </c>
      <c r="N758" s="44">
        <v>1536435</v>
      </c>
      <c r="O758" s="44" t="s">
        <v>580</v>
      </c>
      <c r="P758" s="25">
        <f t="shared" si="25"/>
        <v>1.4922643648732636E-2</v>
      </c>
    </row>
    <row r="759" spans="2:16">
      <c r="B759" s="44">
        <v>390.49591250317189</v>
      </c>
      <c r="C759" s="44">
        <v>394.64929066144362</v>
      </c>
      <c r="D759" s="44">
        <v>390.07469726542263</v>
      </c>
      <c r="E759" s="44">
        <v>394.58072073901934</v>
      </c>
      <c r="F759" s="44">
        <v>4232074.935193019</v>
      </c>
      <c r="G759" s="44" t="s">
        <v>581</v>
      </c>
      <c r="H759" s="25">
        <f t="shared" si="24"/>
        <v>-1.0352275266254596E-2</v>
      </c>
      <c r="J759" s="44">
        <v>272.39999999999998</v>
      </c>
      <c r="K759" s="44">
        <v>278.95</v>
      </c>
      <c r="L759" s="44">
        <v>271.89499999999998</v>
      </c>
      <c r="M759" s="44">
        <v>277.98</v>
      </c>
      <c r="N759" s="44">
        <v>1095214</v>
      </c>
      <c r="O759" s="44" t="s">
        <v>581</v>
      </c>
      <c r="P759" s="25">
        <f t="shared" si="25"/>
        <v>-2.0073386574573804E-2</v>
      </c>
    </row>
    <row r="760" spans="2:16">
      <c r="B760" s="44">
        <v>393.46401057382366</v>
      </c>
      <c r="C760" s="44">
        <v>394.27960082254458</v>
      </c>
      <c r="D760" s="44">
        <v>391.39711719789125</v>
      </c>
      <c r="E760" s="44">
        <v>393.77747307633473</v>
      </c>
      <c r="F760" s="44">
        <v>3809688.7201294741</v>
      </c>
      <c r="G760" s="44" t="s">
        <v>582</v>
      </c>
      <c r="H760" s="25">
        <f t="shared" si="24"/>
        <v>-7.9603970248010025E-4</v>
      </c>
      <c r="J760" s="44">
        <v>277.93</v>
      </c>
      <c r="K760" s="44">
        <v>282.44749999999999</v>
      </c>
      <c r="L760" s="44">
        <v>276.8</v>
      </c>
      <c r="M760" s="44">
        <v>280.5</v>
      </c>
      <c r="N760" s="44">
        <v>1620156</v>
      </c>
      <c r="O760" s="44" t="s">
        <v>582</v>
      </c>
      <c r="P760" s="25">
        <f t="shared" si="25"/>
        <v>-9.1622103386809206E-3</v>
      </c>
    </row>
    <row r="761" spans="2:16">
      <c r="B761" s="44">
        <v>393.14075236810908</v>
      </c>
      <c r="C761" s="44">
        <v>393.8264515923521</v>
      </c>
      <c r="D761" s="44">
        <v>391.07385899217672</v>
      </c>
      <c r="E761" s="44">
        <v>392.08281642213421</v>
      </c>
      <c r="F761" s="44">
        <v>3428623.6835043048</v>
      </c>
      <c r="G761" s="44" t="s">
        <v>583</v>
      </c>
      <c r="H761" s="25">
        <f t="shared" si="24"/>
        <v>2.6982461400089086E-3</v>
      </c>
      <c r="J761" s="44">
        <v>278.69</v>
      </c>
      <c r="K761" s="44">
        <v>279.62</v>
      </c>
      <c r="L761" s="44">
        <v>275.27499999999998</v>
      </c>
      <c r="M761" s="44">
        <v>277.22000000000003</v>
      </c>
      <c r="N761" s="44">
        <v>1810265</v>
      </c>
      <c r="O761" s="44" t="s">
        <v>583</v>
      </c>
      <c r="P761" s="25">
        <f t="shared" si="25"/>
        <v>5.3026477166149277E-3</v>
      </c>
    </row>
    <row r="762" spans="2:16">
      <c r="B762" s="44">
        <v>392.03383790611684</v>
      </c>
      <c r="C762" s="44">
        <v>392.54615318365842</v>
      </c>
      <c r="D762" s="44">
        <v>390.31958984550937</v>
      </c>
      <c r="E762" s="44">
        <v>391.94567657728561</v>
      </c>
      <c r="F762" s="44">
        <v>4090676.2044200012</v>
      </c>
      <c r="G762" s="44" t="s">
        <v>584</v>
      </c>
      <c r="H762" s="25">
        <f t="shared" si="24"/>
        <v>2.2493252024391452E-4</v>
      </c>
      <c r="J762" s="44">
        <v>277.26</v>
      </c>
      <c r="K762" s="44">
        <v>279.52</v>
      </c>
      <c r="L762" s="44">
        <v>273.7</v>
      </c>
      <c r="M762" s="44">
        <v>278.13</v>
      </c>
      <c r="N762" s="44">
        <v>1156013</v>
      </c>
      <c r="O762" s="44" t="s">
        <v>584</v>
      </c>
      <c r="P762" s="25">
        <f t="shared" si="25"/>
        <v>-3.1280336533275888E-3</v>
      </c>
    </row>
    <row r="763" spans="2:16">
      <c r="B763" s="44">
        <v>391.27956875944955</v>
      </c>
      <c r="C763" s="44">
        <v>392.66076291113905</v>
      </c>
      <c r="D763" s="44">
        <v>389.71225624689419</v>
      </c>
      <c r="E763" s="44">
        <v>389.79062187252197</v>
      </c>
      <c r="F763" s="44">
        <v>6106182.3492982965</v>
      </c>
      <c r="G763" s="44" t="s">
        <v>585</v>
      </c>
      <c r="H763" s="25">
        <f t="shared" si="24"/>
        <v>3.8198632891033313E-3</v>
      </c>
      <c r="J763" s="44">
        <v>278.52</v>
      </c>
      <c r="K763" s="44">
        <v>281.58</v>
      </c>
      <c r="L763" s="44">
        <v>277.39</v>
      </c>
      <c r="M763" s="44">
        <v>280.22000000000003</v>
      </c>
      <c r="N763" s="44">
        <v>1310940</v>
      </c>
      <c r="O763" s="44" t="s">
        <v>585</v>
      </c>
      <c r="P763" s="25">
        <f t="shared" si="25"/>
        <v>-6.0666619085005813E-3</v>
      </c>
    </row>
    <row r="764" spans="2:16">
      <c r="B764" s="44">
        <v>387.69434138697915</v>
      </c>
      <c r="C764" s="44">
        <v>387.82129370049614</v>
      </c>
      <c r="D764" s="44">
        <v>383.91319995043932</v>
      </c>
      <c r="E764" s="44">
        <v>383.92299565364277</v>
      </c>
      <c r="F764" s="44">
        <v>4851273.9731804803</v>
      </c>
      <c r="G764" s="44" t="s">
        <v>586</v>
      </c>
      <c r="H764" s="25">
        <f t="shared" si="24"/>
        <v>9.8231827111985304E-3</v>
      </c>
      <c r="J764" s="44">
        <v>277.89</v>
      </c>
      <c r="K764" s="44">
        <v>278.14999999999998</v>
      </c>
      <c r="L764" s="44">
        <v>272.63</v>
      </c>
      <c r="M764" s="44">
        <v>274.57</v>
      </c>
      <c r="N764" s="44">
        <v>1965926</v>
      </c>
      <c r="O764" s="44" t="s">
        <v>586</v>
      </c>
      <c r="P764" s="25">
        <f t="shared" si="25"/>
        <v>1.2091634191645051E-2</v>
      </c>
    </row>
    <row r="765" spans="2:16">
      <c r="B765" s="44">
        <v>380.46511242281747</v>
      </c>
      <c r="C765" s="44">
        <v>381.13122024065348</v>
      </c>
      <c r="D765" s="44">
        <v>376.76233661190543</v>
      </c>
      <c r="E765" s="44">
        <v>377.2227346624685</v>
      </c>
      <c r="F765" s="44">
        <v>5664890.9064881224</v>
      </c>
      <c r="G765" s="44" t="s">
        <v>587</v>
      </c>
      <c r="H765" s="25">
        <f t="shared" si="24"/>
        <v>8.5953932846867254E-3</v>
      </c>
      <c r="J765" s="44">
        <v>270.45999999999998</v>
      </c>
      <c r="K765" s="44">
        <v>272.18</v>
      </c>
      <c r="L765" s="44">
        <v>262</v>
      </c>
      <c r="M765" s="44">
        <v>262.17</v>
      </c>
      <c r="N765" s="44">
        <v>2087263</v>
      </c>
      <c r="O765" s="44" t="s">
        <v>587</v>
      </c>
      <c r="P765" s="25">
        <f t="shared" si="25"/>
        <v>3.1620704123278554E-2</v>
      </c>
    </row>
    <row r="766" spans="2:16">
      <c r="B766" s="44">
        <v>376.3215299677492</v>
      </c>
      <c r="C766" s="44">
        <v>376.62519676705682</v>
      </c>
      <c r="D766" s="44">
        <v>372.78528111129611</v>
      </c>
      <c r="E766" s="44">
        <v>374.53871198471751</v>
      </c>
      <c r="F766" s="44">
        <v>4617493.921617819</v>
      </c>
      <c r="G766" s="44" t="s">
        <v>588</v>
      </c>
      <c r="H766" s="25">
        <f t="shared" si="24"/>
        <v>4.7600366156661522E-3</v>
      </c>
      <c r="J766" s="44">
        <v>262.22000000000003</v>
      </c>
      <c r="K766" s="44">
        <v>263.95</v>
      </c>
      <c r="L766" s="44">
        <v>260.17</v>
      </c>
      <c r="M766" s="44">
        <v>260.39</v>
      </c>
      <c r="N766" s="44">
        <v>2373380</v>
      </c>
      <c r="O766" s="44" t="s">
        <v>588</v>
      </c>
      <c r="P766" s="25">
        <f t="shared" si="25"/>
        <v>7.0279196589733139E-3</v>
      </c>
    </row>
    <row r="767" spans="2:16">
      <c r="B767" s="44">
        <v>374.05872252774742</v>
      </c>
      <c r="C767" s="44">
        <v>374.97951862887368</v>
      </c>
      <c r="D767" s="44">
        <v>370.97307601865396</v>
      </c>
      <c r="E767" s="44">
        <v>372.14856040307052</v>
      </c>
      <c r="F767" s="44">
        <v>5916635.9776460733</v>
      </c>
      <c r="G767" s="44" t="s">
        <v>589</v>
      </c>
      <c r="H767" s="25">
        <f t="shared" si="24"/>
        <v>5.1327946092496468E-3</v>
      </c>
      <c r="J767" s="44">
        <v>258.49</v>
      </c>
      <c r="K767" s="44">
        <v>261.14999999999998</v>
      </c>
      <c r="L767" s="44">
        <v>254.85</v>
      </c>
      <c r="M767" s="44">
        <v>260.08</v>
      </c>
      <c r="N767" s="44">
        <v>2277841</v>
      </c>
      <c r="O767" s="44" t="s">
        <v>589</v>
      </c>
      <c r="P767" s="25">
        <f t="shared" si="25"/>
        <v>-6.1135035373730551E-3</v>
      </c>
    </row>
    <row r="768" spans="2:16">
      <c r="B768" s="44">
        <v>369.61147327337147</v>
      </c>
      <c r="C768" s="44">
        <v>373.1085393170107</v>
      </c>
      <c r="D768" s="44">
        <v>368.2645640828942</v>
      </c>
      <c r="E768" s="44">
        <v>372.7558940016857</v>
      </c>
      <c r="F768" s="44">
        <v>5756352.4362415485</v>
      </c>
      <c r="G768" s="44" t="s">
        <v>590</v>
      </c>
      <c r="H768" s="25">
        <f t="shared" si="24"/>
        <v>-8.4356029747982841E-3</v>
      </c>
      <c r="J768" s="44">
        <v>258.98</v>
      </c>
      <c r="K768" s="44">
        <v>264.77</v>
      </c>
      <c r="L768" s="44">
        <v>257.01</v>
      </c>
      <c r="M768" s="44">
        <v>263.82</v>
      </c>
      <c r="N768" s="44">
        <v>1861819</v>
      </c>
      <c r="O768" s="44" t="s">
        <v>590</v>
      </c>
      <c r="P768" s="25">
        <f t="shared" si="25"/>
        <v>-1.8345841861875378E-2</v>
      </c>
    </row>
    <row r="769" spans="2:16">
      <c r="B769" s="44">
        <v>371.25715141155467</v>
      </c>
      <c r="C769" s="44">
        <v>375.56442006715292</v>
      </c>
      <c r="D769" s="44">
        <v>370.42451663925959</v>
      </c>
      <c r="E769" s="44">
        <v>374.81299167441466</v>
      </c>
      <c r="F769" s="44">
        <v>7104544.5696373712</v>
      </c>
      <c r="G769" s="44" t="s">
        <v>591</v>
      </c>
      <c r="H769" s="25">
        <f t="shared" si="24"/>
        <v>-9.4869717481639304E-3</v>
      </c>
      <c r="J769" s="44">
        <v>259.51</v>
      </c>
      <c r="K769" s="44">
        <v>264.24</v>
      </c>
      <c r="L769" s="44">
        <v>255.95</v>
      </c>
      <c r="M769" s="44">
        <v>264.24</v>
      </c>
      <c r="N769" s="44">
        <v>2924876</v>
      </c>
      <c r="O769" s="44" t="s">
        <v>591</v>
      </c>
      <c r="P769" s="25">
        <f t="shared" si="25"/>
        <v>-1.7900393581592566E-2</v>
      </c>
    </row>
    <row r="770" spans="2:16">
      <c r="B770" s="44">
        <v>375.87092762038952</v>
      </c>
      <c r="C770" s="44">
        <v>379.75982179216754</v>
      </c>
      <c r="D770" s="44">
        <v>375.29298113138475</v>
      </c>
      <c r="E770" s="44">
        <v>379.68145616653982</v>
      </c>
      <c r="F770" s="44">
        <v>5585320.3045813804</v>
      </c>
      <c r="G770" s="44" t="s">
        <v>592</v>
      </c>
      <c r="H770" s="25">
        <f t="shared" ref="H770:H833" si="26">B770/E770-1</f>
        <v>-1.0036119711042457E-2</v>
      </c>
      <c r="J770" s="44">
        <v>266.61</v>
      </c>
      <c r="K770" s="44">
        <v>281.88</v>
      </c>
      <c r="L770" s="44">
        <v>266.13</v>
      </c>
      <c r="M770" s="44">
        <v>280.13</v>
      </c>
      <c r="N770" s="44">
        <v>2618054</v>
      </c>
      <c r="O770" s="44" t="s">
        <v>592</v>
      </c>
      <c r="P770" s="25">
        <f t="shared" si="25"/>
        <v>-4.8263306322064659E-2</v>
      </c>
    </row>
    <row r="771" spans="2:16">
      <c r="B771" s="44">
        <v>381.24876867909518</v>
      </c>
      <c r="C771" s="44">
        <v>382.28711321866308</v>
      </c>
      <c r="D771" s="44">
        <v>378.65290733017537</v>
      </c>
      <c r="E771" s="44">
        <v>380.34756398437582</v>
      </c>
      <c r="F771" s="44">
        <v>4544352.6692627948</v>
      </c>
      <c r="G771" s="44" t="s">
        <v>593</v>
      </c>
      <c r="H771" s="25">
        <f t="shared" si="26"/>
        <v>2.3694241269187621E-3</v>
      </c>
      <c r="J771" s="44">
        <v>277.39</v>
      </c>
      <c r="K771" s="44">
        <v>280.02</v>
      </c>
      <c r="L771" s="44">
        <v>271.77</v>
      </c>
      <c r="M771" s="44">
        <v>271.93</v>
      </c>
      <c r="N771" s="44">
        <v>2529146</v>
      </c>
      <c r="O771" s="44" t="s">
        <v>593</v>
      </c>
      <c r="P771" s="25">
        <f t="shared" si="25"/>
        <v>2.0078696723421441E-2</v>
      </c>
    </row>
    <row r="772" spans="2:16">
      <c r="B772" s="44">
        <v>378.41781045329202</v>
      </c>
      <c r="C772" s="44">
        <v>381.97365071615201</v>
      </c>
      <c r="D772" s="44">
        <v>376.00806746523813</v>
      </c>
      <c r="E772" s="44">
        <v>377.60476708740396</v>
      </c>
      <c r="F772" s="44">
        <v>5652612.0534541337</v>
      </c>
      <c r="G772" s="44" t="s">
        <v>594</v>
      </c>
      <c r="H772" s="25">
        <f t="shared" si="26"/>
        <v>2.1531596970010281E-3</v>
      </c>
      <c r="J772" s="44">
        <v>272.58999999999997</v>
      </c>
      <c r="K772" s="44">
        <v>278.18</v>
      </c>
      <c r="L772" s="44">
        <v>267.05</v>
      </c>
      <c r="M772" s="44">
        <v>268.5</v>
      </c>
      <c r="N772" s="44">
        <v>2556159</v>
      </c>
      <c r="O772" s="44" t="s">
        <v>594</v>
      </c>
      <c r="P772" s="25">
        <f t="shared" si="25"/>
        <v>1.5232774674115435E-2</v>
      </c>
    </row>
    <row r="773" spans="2:16">
      <c r="B773" s="44">
        <v>379.08391827112808</v>
      </c>
      <c r="C773" s="44">
        <v>383.81524291840458</v>
      </c>
      <c r="D773" s="44">
        <v>378.93698272307597</v>
      </c>
      <c r="E773" s="44">
        <v>383.38423197745186</v>
      </c>
      <c r="F773" s="44">
        <v>7707066.9079937013</v>
      </c>
      <c r="G773" s="44" t="s">
        <v>595</v>
      </c>
      <c r="H773" s="25">
        <f t="shared" si="26"/>
        <v>-1.1216720322959728E-2</v>
      </c>
      <c r="J773" s="44">
        <v>266.91000000000003</v>
      </c>
      <c r="K773" s="44">
        <v>269.49</v>
      </c>
      <c r="L773" s="44">
        <v>256.72000000000003</v>
      </c>
      <c r="M773" s="44">
        <v>260.05</v>
      </c>
      <c r="N773" s="44">
        <v>7002531</v>
      </c>
      <c r="O773" s="44" t="s">
        <v>595</v>
      </c>
      <c r="P773" s="25">
        <f t="shared" si="25"/>
        <v>2.6379542395693178E-2</v>
      </c>
    </row>
    <row r="774" spans="2:16">
      <c r="B774" s="44">
        <v>383.86422143442195</v>
      </c>
      <c r="C774" s="44">
        <v>389.4771593700109</v>
      </c>
      <c r="D774" s="44">
        <v>383.14423724896682</v>
      </c>
      <c r="E774" s="44">
        <v>387.88045974784512</v>
      </c>
      <c r="F774" s="44">
        <v>6848822.2444537785</v>
      </c>
      <c r="G774" s="44" t="s">
        <v>596</v>
      </c>
      <c r="H774" s="25">
        <f t="shared" si="26"/>
        <v>-1.0354319771699982E-2</v>
      </c>
      <c r="J774" s="44">
        <v>273.45</v>
      </c>
      <c r="K774" s="44">
        <v>278.13</v>
      </c>
      <c r="L774" s="44">
        <v>271.70999999999998</v>
      </c>
      <c r="M774" s="44">
        <v>277.10000000000002</v>
      </c>
      <c r="N774" s="44">
        <v>3022847</v>
      </c>
      <c r="O774" s="44" t="s">
        <v>596</v>
      </c>
      <c r="P774" s="25">
        <f t="shared" si="25"/>
        <v>-1.3172140021652901E-2</v>
      </c>
    </row>
    <row r="775" spans="2:16">
      <c r="B775" s="44">
        <v>387.14578200758478</v>
      </c>
      <c r="C775" s="44">
        <v>391.64200977797799</v>
      </c>
      <c r="D775" s="44">
        <v>386.16621168723771</v>
      </c>
      <c r="E775" s="44">
        <v>390.74080508325864</v>
      </c>
      <c r="F775" s="44">
        <v>7482118.2795767868</v>
      </c>
      <c r="G775" s="44" t="s">
        <v>597</v>
      </c>
      <c r="H775" s="25">
        <f t="shared" si="26"/>
        <v>-9.2005314748425659E-3</v>
      </c>
      <c r="J775" s="44">
        <v>275.52</v>
      </c>
      <c r="K775" s="44">
        <v>278.7</v>
      </c>
      <c r="L775" s="44">
        <v>273.05</v>
      </c>
      <c r="M775" s="44">
        <v>275</v>
      </c>
      <c r="N775" s="44">
        <v>1993131</v>
      </c>
      <c r="O775" s="44" t="s">
        <v>597</v>
      </c>
      <c r="P775" s="25">
        <f t="shared" si="25"/>
        <v>1.8909090909089432E-3</v>
      </c>
    </row>
    <row r="776" spans="2:16">
      <c r="B776" s="44">
        <v>392.39627892464529</v>
      </c>
      <c r="C776" s="44">
        <v>394.27705393971172</v>
      </c>
      <c r="D776" s="44">
        <v>389.19063505130936</v>
      </c>
      <c r="E776" s="44">
        <v>389.50654647962131</v>
      </c>
      <c r="F776" s="44">
        <v>4302507.8572271941</v>
      </c>
      <c r="G776" s="44" t="s">
        <v>598</v>
      </c>
      <c r="H776" s="25">
        <f t="shared" si="26"/>
        <v>7.4189573221337124E-3</v>
      </c>
      <c r="J776" s="44">
        <v>275.37</v>
      </c>
      <c r="K776" s="44">
        <v>279.62</v>
      </c>
      <c r="L776" s="44">
        <v>268.43</v>
      </c>
      <c r="M776" s="44">
        <v>272.41000000000003</v>
      </c>
      <c r="N776" s="44">
        <v>2518811</v>
      </c>
      <c r="O776" s="44" t="s">
        <v>598</v>
      </c>
      <c r="P776" s="25">
        <f t="shared" si="25"/>
        <v>1.086597408318335E-2</v>
      </c>
    </row>
    <row r="777" spans="2:16">
      <c r="B777" s="44">
        <v>392.38648322144178</v>
      </c>
      <c r="C777" s="44">
        <v>393.39544065139933</v>
      </c>
      <c r="D777" s="44">
        <v>390.20204140706772</v>
      </c>
      <c r="E777" s="44">
        <v>390.42734258074756</v>
      </c>
      <c r="F777" s="44">
        <v>5258367.7690181229</v>
      </c>
      <c r="G777" s="44" t="s">
        <v>599</v>
      </c>
      <c r="H777" s="25">
        <f t="shared" si="26"/>
        <v>5.0179391323983413E-3</v>
      </c>
      <c r="J777" s="44">
        <v>274.16000000000003</v>
      </c>
      <c r="K777" s="44">
        <v>278.61</v>
      </c>
      <c r="L777" s="44">
        <v>270.60000000000002</v>
      </c>
      <c r="M777" s="44">
        <v>276</v>
      </c>
      <c r="N777" s="44">
        <v>2283273</v>
      </c>
      <c r="O777" s="44" t="s">
        <v>599</v>
      </c>
      <c r="P777" s="25">
        <f t="shared" si="25"/>
        <v>-6.6666666666665986E-3</v>
      </c>
    </row>
    <row r="778" spans="2:16">
      <c r="B778" s="44">
        <v>388.32126639200129</v>
      </c>
      <c r="C778" s="44">
        <v>392.76851564637718</v>
      </c>
      <c r="D778" s="44">
        <v>386.89109372429448</v>
      </c>
      <c r="E778" s="44">
        <v>391.64200977797799</v>
      </c>
      <c r="F778" s="44">
        <v>3850891.479300146</v>
      </c>
      <c r="G778" s="44" t="s">
        <v>600</v>
      </c>
      <c r="H778" s="25">
        <f t="shared" si="26"/>
        <v>-8.4790275380806079E-3</v>
      </c>
      <c r="J778" s="44">
        <v>273.14999999999998</v>
      </c>
      <c r="K778" s="44">
        <v>273.72000000000003</v>
      </c>
      <c r="L778" s="44">
        <v>265.5</v>
      </c>
      <c r="M778" s="44">
        <v>266.83</v>
      </c>
      <c r="N778" s="44">
        <v>2938452</v>
      </c>
      <c r="O778" s="44" t="s">
        <v>600</v>
      </c>
      <c r="P778" s="25">
        <f t="shared" si="25"/>
        <v>2.3685492635760586E-2</v>
      </c>
    </row>
    <row r="779" spans="2:16">
      <c r="B779" s="44">
        <v>390.37836406473019</v>
      </c>
      <c r="C779" s="44">
        <v>393.59135471546875</v>
      </c>
      <c r="D779" s="44">
        <v>388.1057609215249</v>
      </c>
      <c r="E779" s="44">
        <v>393.27789221295768</v>
      </c>
      <c r="F779" s="44">
        <v>3953701.8624937828</v>
      </c>
      <c r="G779" s="44" t="s">
        <v>601</v>
      </c>
      <c r="H779" s="25">
        <f t="shared" si="26"/>
        <v>-7.3727209325497034E-3</v>
      </c>
      <c r="J779" s="44">
        <v>266.12</v>
      </c>
      <c r="K779" s="44">
        <v>283.26499999999999</v>
      </c>
      <c r="L779" s="44">
        <v>265.60000000000002</v>
      </c>
      <c r="M779" s="44">
        <v>281.93</v>
      </c>
      <c r="N779" s="44">
        <v>5153342</v>
      </c>
      <c r="O779" s="44" t="s">
        <v>601</v>
      </c>
      <c r="P779" s="25">
        <f t="shared" si="25"/>
        <v>-5.6077749796048626E-2</v>
      </c>
    </row>
    <row r="780" spans="2:16">
      <c r="B780" s="44">
        <v>392.73912853676677</v>
      </c>
      <c r="C780" s="44">
        <v>392.89585978802228</v>
      </c>
      <c r="D780" s="44">
        <v>389.8591917949463</v>
      </c>
      <c r="E780" s="44">
        <v>392.09261212533767</v>
      </c>
      <c r="F780" s="44">
        <v>4268998.2670342531</v>
      </c>
      <c r="G780" s="44" t="s">
        <v>602</v>
      </c>
      <c r="H780" s="25">
        <f t="shared" si="26"/>
        <v>1.6488870012740797E-3</v>
      </c>
      <c r="J780" s="44">
        <v>281.79000000000002</v>
      </c>
      <c r="K780" s="44">
        <v>298.72000000000003</v>
      </c>
      <c r="L780" s="44">
        <v>278.20499999999998</v>
      </c>
      <c r="M780" s="44">
        <v>298.66000000000003</v>
      </c>
      <c r="N780" s="44">
        <v>3560364</v>
      </c>
      <c r="O780" s="44" t="s">
        <v>602</v>
      </c>
      <c r="P780" s="25">
        <f t="shared" si="25"/>
        <v>-5.6485635840085702E-2</v>
      </c>
    </row>
    <row r="781" spans="2:16">
      <c r="B781" s="44">
        <v>391.08365469538018</v>
      </c>
      <c r="C781" s="44">
        <v>393.47380627702711</v>
      </c>
      <c r="D781" s="44">
        <v>389.26900067693714</v>
      </c>
      <c r="E781" s="44">
        <v>389.64368632446991</v>
      </c>
      <c r="F781" s="44">
        <v>3358247.9293924696</v>
      </c>
      <c r="G781" s="44" t="s">
        <v>603</v>
      </c>
      <c r="H781" s="25">
        <f t="shared" si="26"/>
        <v>3.6956029866506146E-3</v>
      </c>
      <c r="J781" s="44">
        <v>297.83</v>
      </c>
      <c r="K781" s="44">
        <v>301.07</v>
      </c>
      <c r="L781" s="44">
        <v>292.52</v>
      </c>
      <c r="M781" s="44">
        <v>295.13</v>
      </c>
      <c r="N781" s="44">
        <v>1459776</v>
      </c>
      <c r="O781" s="44" t="s">
        <v>603</v>
      </c>
      <c r="P781" s="25">
        <f t="shared" si="25"/>
        <v>9.1485108257378656E-3</v>
      </c>
    </row>
    <row r="782" spans="2:16">
      <c r="B782" s="44">
        <v>389.07553553866859</v>
      </c>
      <c r="C782" s="44">
        <v>389.56532069884213</v>
      </c>
      <c r="D782" s="44">
        <v>384.29523237537467</v>
      </c>
      <c r="E782" s="44">
        <v>384.77522183234476</v>
      </c>
      <c r="F782" s="44">
        <v>3021224.6517955987</v>
      </c>
      <c r="G782" s="44" t="s">
        <v>604</v>
      </c>
      <c r="H782" s="25">
        <f t="shared" si="26"/>
        <v>1.1176171079429809E-2</v>
      </c>
      <c r="J782" s="44">
        <v>294.49</v>
      </c>
      <c r="K782" s="44">
        <v>295.13</v>
      </c>
      <c r="L782" s="44">
        <v>289.60250000000002</v>
      </c>
      <c r="M782" s="44">
        <v>293.13</v>
      </c>
      <c r="N782" s="44">
        <v>920385</v>
      </c>
      <c r="O782" s="44" t="s">
        <v>604</v>
      </c>
      <c r="P782" s="25">
        <f t="shared" si="25"/>
        <v>4.6395797086618007E-3</v>
      </c>
    </row>
    <row r="783" spans="2:16">
      <c r="B783" s="44">
        <v>386.49926559615568</v>
      </c>
      <c r="C783" s="44">
        <v>387.99311033468501</v>
      </c>
      <c r="D783" s="44">
        <v>378.51615931345486</v>
      </c>
      <c r="E783" s="44">
        <v>379.76961749537105</v>
      </c>
      <c r="F783" s="44">
        <v>4999354.2048769658</v>
      </c>
      <c r="G783" s="44" t="s">
        <v>605</v>
      </c>
      <c r="H783" s="25">
        <f t="shared" si="26"/>
        <v>1.7720343573473629E-2</v>
      </c>
      <c r="J783" s="44">
        <v>295.68</v>
      </c>
      <c r="K783" s="44">
        <v>296.73</v>
      </c>
      <c r="L783" s="44">
        <v>284.99</v>
      </c>
      <c r="M783" s="44">
        <v>286.47000000000003</v>
      </c>
      <c r="N783" s="44">
        <v>1444071</v>
      </c>
      <c r="O783" s="44" t="s">
        <v>605</v>
      </c>
      <c r="P783" s="25">
        <f t="shared" si="25"/>
        <v>3.2149963346947308E-2</v>
      </c>
    </row>
    <row r="784" spans="2:16">
      <c r="B784" s="44">
        <v>381.94426360654165</v>
      </c>
      <c r="C784" s="44">
        <v>382.80520796109471</v>
      </c>
      <c r="D784" s="44">
        <v>379.04473545831416</v>
      </c>
      <c r="E784" s="44">
        <v>381.92467220013464</v>
      </c>
      <c r="F784" s="44">
        <v>3398521.7098251195</v>
      </c>
      <c r="G784" s="44" t="s">
        <v>606</v>
      </c>
      <c r="H784" s="25">
        <f t="shared" si="26"/>
        <v>5.1296519531396356E-5</v>
      </c>
      <c r="J784" s="44">
        <v>290.08999999999997</v>
      </c>
      <c r="K784" s="44">
        <v>292.45</v>
      </c>
      <c r="L784" s="44">
        <v>284.79500000000002</v>
      </c>
      <c r="M784" s="44">
        <v>291.85000000000002</v>
      </c>
      <c r="N784" s="44">
        <v>963159</v>
      </c>
      <c r="O784" s="44" t="s">
        <v>606</v>
      </c>
      <c r="P784" s="25">
        <f t="shared" si="25"/>
        <v>-6.0304951173549837E-3</v>
      </c>
    </row>
    <row r="785" spans="2:16">
      <c r="B785" s="44">
        <v>382.26752181225618</v>
      </c>
      <c r="C785" s="44">
        <v>382.86505970766791</v>
      </c>
      <c r="D785" s="44">
        <v>378.50597178212325</v>
      </c>
      <c r="E785" s="44">
        <v>379.80880030818491</v>
      </c>
      <c r="F785" s="44">
        <v>4424123.4243033649</v>
      </c>
      <c r="G785" s="44" t="s">
        <v>607</v>
      </c>
      <c r="H785" s="25">
        <f t="shared" si="26"/>
        <v>6.4735769736672388E-3</v>
      </c>
      <c r="J785" s="44">
        <v>290.27999999999997</v>
      </c>
      <c r="K785" s="44">
        <v>290.82</v>
      </c>
      <c r="L785" s="44">
        <v>285.46620000000001</v>
      </c>
      <c r="M785" s="44">
        <v>289.62</v>
      </c>
      <c r="N785" s="44">
        <v>1123927</v>
      </c>
      <c r="O785" s="44" t="s">
        <v>607</v>
      </c>
      <c r="P785" s="25">
        <f t="shared" si="25"/>
        <v>2.278848145846224E-3</v>
      </c>
    </row>
    <row r="786" spans="2:16">
      <c r="B786" s="44">
        <v>379.47574639926688</v>
      </c>
      <c r="C786" s="44">
        <v>383.92299565364277</v>
      </c>
      <c r="D786" s="44">
        <v>378.14353076359481</v>
      </c>
      <c r="E786" s="44">
        <v>382.60057572117415</v>
      </c>
      <c r="F786" s="44">
        <v>7030289.5636524763</v>
      </c>
      <c r="G786" s="44" t="s">
        <v>608</v>
      </c>
      <c r="H786" s="25">
        <f t="shared" si="26"/>
        <v>-8.167340877669127E-3</v>
      </c>
      <c r="J786" s="44">
        <v>288.04000000000002</v>
      </c>
      <c r="K786" s="44">
        <v>292.83</v>
      </c>
      <c r="L786" s="44">
        <v>286.47000000000003</v>
      </c>
      <c r="M786" s="44">
        <v>291.54000000000002</v>
      </c>
      <c r="N786" s="44">
        <v>1059949</v>
      </c>
      <c r="O786" s="44" t="s">
        <v>608</v>
      </c>
      <c r="P786" s="25">
        <f t="shared" si="25"/>
        <v>-1.2005213692803718E-2</v>
      </c>
    </row>
    <row r="787" spans="2:16">
      <c r="B787" s="44">
        <v>384.64787769069966</v>
      </c>
      <c r="C787" s="44">
        <v>385.71551138284599</v>
      </c>
      <c r="D787" s="44">
        <v>382.00303782576248</v>
      </c>
      <c r="E787" s="44">
        <v>383.89360854403236</v>
      </c>
      <c r="F787" s="44">
        <v>6008913.1711485982</v>
      </c>
      <c r="G787" s="44" t="s">
        <v>609</v>
      </c>
      <c r="H787" s="25">
        <f t="shared" si="26"/>
        <v>1.964786935442886E-3</v>
      </c>
      <c r="J787" s="44">
        <v>294.98</v>
      </c>
      <c r="K787" s="44">
        <v>296.39330000000001</v>
      </c>
      <c r="L787" s="44">
        <v>290.01</v>
      </c>
      <c r="M787" s="44">
        <v>291.95999999999998</v>
      </c>
      <c r="N787" s="44">
        <v>978189</v>
      </c>
      <c r="O787" s="44" t="s">
        <v>609</v>
      </c>
      <c r="P787" s="25">
        <f t="shared" si="25"/>
        <v>1.0343882723660824E-2</v>
      </c>
    </row>
    <row r="788" spans="2:16">
      <c r="B788" s="44">
        <v>384.67726480031007</v>
      </c>
      <c r="C788" s="44">
        <v>388.63472889451236</v>
      </c>
      <c r="D788" s="44">
        <v>383.30586635182414</v>
      </c>
      <c r="E788" s="44">
        <v>388.51718045607072</v>
      </c>
      <c r="F788" s="44">
        <v>5886851.490107025</v>
      </c>
      <c r="G788" s="44" t="s">
        <v>610</v>
      </c>
      <c r="H788" s="25">
        <f t="shared" si="26"/>
        <v>-9.8835157077302727E-3</v>
      </c>
      <c r="J788" s="44">
        <v>292.29000000000002</v>
      </c>
      <c r="K788" s="44">
        <v>298.35000000000002</v>
      </c>
      <c r="L788" s="44">
        <v>291.7</v>
      </c>
      <c r="M788" s="44">
        <v>297.87</v>
      </c>
      <c r="N788" s="44">
        <v>1294334</v>
      </c>
      <c r="O788" s="44" t="s">
        <v>610</v>
      </c>
      <c r="P788" s="25">
        <f t="shared" si="25"/>
        <v>-1.8733004330748204E-2</v>
      </c>
    </row>
    <row r="789" spans="2:16">
      <c r="B789" s="44">
        <v>385.59806090143633</v>
      </c>
      <c r="C789" s="44">
        <v>387.1947605236021</v>
      </c>
      <c r="D789" s="44">
        <v>382.35568314108741</v>
      </c>
      <c r="E789" s="44">
        <v>382.88465111407487</v>
      </c>
      <c r="F789" s="44">
        <v>4150569.8116285275</v>
      </c>
      <c r="G789" s="44" t="s">
        <v>611</v>
      </c>
      <c r="H789" s="25">
        <f t="shared" si="26"/>
        <v>7.0867551871465206E-3</v>
      </c>
      <c r="J789" s="44">
        <v>296.14999999999998</v>
      </c>
      <c r="K789" s="44">
        <v>297.39999999999998</v>
      </c>
      <c r="L789" s="44">
        <v>292.13</v>
      </c>
      <c r="M789" s="44">
        <v>292.13</v>
      </c>
      <c r="N789" s="44">
        <v>1206565</v>
      </c>
      <c r="O789" s="44" t="s">
        <v>611</v>
      </c>
      <c r="P789" s="25">
        <f t="shared" si="25"/>
        <v>1.3760996816485793E-2</v>
      </c>
    </row>
    <row r="790" spans="2:16">
      <c r="B790" s="44">
        <v>383.36219164524408</v>
      </c>
      <c r="C790" s="44">
        <v>384.86499876025914</v>
      </c>
      <c r="D790" s="44">
        <v>380.04430580689905</v>
      </c>
      <c r="E790" s="44">
        <v>384.32828193346802</v>
      </c>
      <c r="F790" s="44">
        <v>4957425.903540004</v>
      </c>
      <c r="G790" s="44" t="s">
        <v>612</v>
      </c>
      <c r="H790" s="25">
        <f t="shared" si="26"/>
        <v>-2.5137111517365973E-3</v>
      </c>
      <c r="J790" s="44">
        <v>291.43</v>
      </c>
      <c r="K790" s="44">
        <v>297.45499999999998</v>
      </c>
      <c r="L790" s="44">
        <v>288.55</v>
      </c>
      <c r="M790" s="44">
        <v>292</v>
      </c>
      <c r="N790" s="44">
        <v>1749135</v>
      </c>
      <c r="O790" s="44" t="s">
        <v>612</v>
      </c>
      <c r="P790" s="25">
        <f t="shared" si="25"/>
        <v>-1.9520547945205413E-3</v>
      </c>
    </row>
    <row r="791" spans="2:16">
      <c r="B791" s="44">
        <v>383.27436525540548</v>
      </c>
      <c r="C791" s="44">
        <v>386.78742084894725</v>
      </c>
      <c r="D791" s="44">
        <v>382.49368623461845</v>
      </c>
      <c r="E791" s="44">
        <v>386.16287763231765</v>
      </c>
      <c r="F791" s="44">
        <v>5876662.5947943795</v>
      </c>
      <c r="G791" s="44" t="s">
        <v>613</v>
      </c>
      <c r="H791" s="25">
        <f t="shared" si="26"/>
        <v>-7.4800363893663402E-3</v>
      </c>
      <c r="J791" s="44">
        <v>290.74</v>
      </c>
      <c r="K791" s="44">
        <v>292.85000000000002</v>
      </c>
      <c r="L791" s="44">
        <v>288.95</v>
      </c>
      <c r="M791" s="44">
        <v>291.73</v>
      </c>
      <c r="N791" s="44">
        <v>1297599</v>
      </c>
      <c r="O791" s="44" t="s">
        <v>613</v>
      </c>
      <c r="P791" s="25">
        <f t="shared" si="25"/>
        <v>-3.3935488293971305E-3</v>
      </c>
    </row>
    <row r="792" spans="2:16">
      <c r="B792" s="44">
        <v>388.98308059491086</v>
      </c>
      <c r="C792" s="44">
        <v>389.01157537916959</v>
      </c>
      <c r="D792" s="44">
        <v>385.82133056072325</v>
      </c>
      <c r="E792" s="44">
        <v>386.20191158335695</v>
      </c>
      <c r="F792" s="44">
        <v>3307787.1074293554</v>
      </c>
      <c r="G792" s="44" t="s">
        <v>614</v>
      </c>
      <c r="H792" s="25">
        <f t="shared" si="26"/>
        <v>7.2013341419041588E-3</v>
      </c>
      <c r="J792" s="44">
        <v>293.25</v>
      </c>
      <c r="K792" s="44">
        <v>293.39</v>
      </c>
      <c r="L792" s="44">
        <v>285.74</v>
      </c>
      <c r="M792" s="44">
        <v>286.39999999999998</v>
      </c>
      <c r="N792" s="44">
        <v>1519437</v>
      </c>
      <c r="O792" s="44" t="s">
        <v>614</v>
      </c>
      <c r="P792" s="25">
        <f t="shared" si="25"/>
        <v>2.3917597765363174E-2</v>
      </c>
    </row>
    <row r="793" spans="2:16">
      <c r="B793" s="44">
        <v>387.37293011453755</v>
      </c>
      <c r="C793" s="44">
        <v>390.65763709449914</v>
      </c>
      <c r="D793" s="44">
        <v>386.9777113602641</v>
      </c>
      <c r="E793" s="44">
        <v>389.16361261846788</v>
      </c>
      <c r="F793" s="44">
        <v>7384881.9380181106</v>
      </c>
      <c r="G793" s="44" t="s">
        <v>615</v>
      </c>
      <c r="H793" s="25">
        <f t="shared" si="26"/>
        <v>-4.6013616018255599E-3</v>
      </c>
      <c r="J793" s="44">
        <v>288.2</v>
      </c>
      <c r="K793" s="44">
        <v>293.92</v>
      </c>
      <c r="L793" s="44">
        <v>284.42</v>
      </c>
      <c r="M793" s="44">
        <v>286.49</v>
      </c>
      <c r="N793" s="44">
        <v>1962444</v>
      </c>
      <c r="O793" s="44" t="s">
        <v>615</v>
      </c>
      <c r="P793" s="25">
        <f t="shared" si="25"/>
        <v>5.9687947223288074E-3</v>
      </c>
    </row>
    <row r="794" spans="2:16">
      <c r="B794" s="44">
        <v>388.30974493948202</v>
      </c>
      <c r="C794" s="44">
        <v>392.34000038429519</v>
      </c>
      <c r="D794" s="44">
        <v>388.08529972100575</v>
      </c>
      <c r="E794" s="44">
        <v>392.09603819029928</v>
      </c>
      <c r="F794" s="44">
        <v>4747804.284868842</v>
      </c>
      <c r="G794" s="44" t="s">
        <v>616</v>
      </c>
      <c r="H794" s="25">
        <f t="shared" si="26"/>
        <v>-9.656545545047357E-3</v>
      </c>
      <c r="J794" s="44">
        <v>284.35000000000002</v>
      </c>
      <c r="K794" s="44">
        <v>290.66000000000003</v>
      </c>
      <c r="L794" s="44">
        <v>283.74</v>
      </c>
      <c r="M794" s="44">
        <v>290.06</v>
      </c>
      <c r="N794" s="44">
        <v>2039755</v>
      </c>
      <c r="O794" s="44" t="s">
        <v>616</v>
      </c>
      <c r="P794" s="25">
        <f t="shared" si="25"/>
        <v>-1.9685582293318515E-2</v>
      </c>
    </row>
    <row r="795" spans="2:16">
      <c r="B795" s="44">
        <v>394.77962232425477</v>
      </c>
      <c r="C795" s="44">
        <v>399.94186234920915</v>
      </c>
      <c r="D795" s="44">
        <v>394.56493559353828</v>
      </c>
      <c r="E795" s="44">
        <v>399.57103981433528</v>
      </c>
      <c r="F795" s="44">
        <v>4108643.7762427176</v>
      </c>
      <c r="G795" s="44" t="s">
        <v>617</v>
      </c>
      <c r="H795" s="25">
        <f t="shared" si="26"/>
        <v>-1.1991403311678694E-2</v>
      </c>
      <c r="J795" s="44">
        <v>291.95999999999998</v>
      </c>
      <c r="K795" s="44">
        <v>303.39</v>
      </c>
      <c r="L795" s="44">
        <v>291.79000000000002</v>
      </c>
      <c r="M795" s="44">
        <v>303.17</v>
      </c>
      <c r="N795" s="44">
        <v>1391844</v>
      </c>
      <c r="O795" s="44" t="s">
        <v>617</v>
      </c>
      <c r="P795" s="25">
        <f t="shared" si="25"/>
        <v>-3.6975954085166851E-2</v>
      </c>
    </row>
    <row r="796" spans="2:16">
      <c r="B796" s="44">
        <v>398.50736464851298</v>
      </c>
      <c r="C796" s="44">
        <v>398.93185886606591</v>
      </c>
      <c r="D796" s="44">
        <v>395.91160690439597</v>
      </c>
      <c r="E796" s="44">
        <v>398.36098733211543</v>
      </c>
      <c r="F796" s="44">
        <v>3719606.0386923924</v>
      </c>
      <c r="G796" s="44" t="s">
        <v>618</v>
      </c>
      <c r="H796" s="25">
        <f t="shared" si="26"/>
        <v>3.6744892459950051E-4</v>
      </c>
      <c r="J796" s="44">
        <v>299.64999999999998</v>
      </c>
      <c r="K796" s="44">
        <v>300.48</v>
      </c>
      <c r="L796" s="44">
        <v>295.25</v>
      </c>
      <c r="M796" s="44">
        <v>298.17</v>
      </c>
      <c r="N796" s="44">
        <v>1076576</v>
      </c>
      <c r="O796" s="44" t="s">
        <v>618</v>
      </c>
      <c r="P796" s="25">
        <f t="shared" si="25"/>
        <v>4.9636113626454481E-3</v>
      </c>
    </row>
    <row r="797" spans="2:16">
      <c r="B797" s="44">
        <v>399.30756064481966</v>
      </c>
      <c r="C797" s="44">
        <v>400.42978673720103</v>
      </c>
      <c r="D797" s="44">
        <v>398.30243640555636</v>
      </c>
      <c r="E797" s="44">
        <v>398.71229289146953</v>
      </c>
      <c r="F797" s="44">
        <v>3089178.4405435175</v>
      </c>
      <c r="G797" s="44" t="s">
        <v>619</v>
      </c>
      <c r="H797" s="25">
        <f t="shared" si="26"/>
        <v>1.4929756718391474E-3</v>
      </c>
      <c r="J797" s="44">
        <v>298.17</v>
      </c>
      <c r="K797" s="44">
        <v>303.79500000000002</v>
      </c>
      <c r="L797" s="44">
        <v>296</v>
      </c>
      <c r="M797" s="44">
        <v>296.13</v>
      </c>
      <c r="N797" s="44">
        <v>1007141</v>
      </c>
      <c r="O797" s="44" t="s">
        <v>619</v>
      </c>
      <c r="P797" s="25">
        <f t="shared" si="25"/>
        <v>6.8888663762536329E-3</v>
      </c>
    </row>
    <row r="798" spans="2:16">
      <c r="B798" s="44">
        <v>398.86842869562696</v>
      </c>
      <c r="C798" s="44">
        <v>402.70351438524341</v>
      </c>
      <c r="D798" s="44">
        <v>398.61470801387117</v>
      </c>
      <c r="E798" s="44">
        <v>402.38148428916867</v>
      </c>
      <c r="F798" s="44">
        <v>4103125.5031941393</v>
      </c>
      <c r="G798" s="44" t="s">
        <v>620</v>
      </c>
      <c r="H798" s="25">
        <f t="shared" si="26"/>
        <v>-8.7306591647667853E-3</v>
      </c>
      <c r="J798" s="44">
        <v>295.54000000000002</v>
      </c>
      <c r="K798" s="44">
        <v>304.04000000000002</v>
      </c>
      <c r="L798" s="44">
        <v>294.84500000000003</v>
      </c>
      <c r="M798" s="44">
        <v>303.74</v>
      </c>
      <c r="N798" s="44">
        <v>2792093</v>
      </c>
      <c r="O798" s="44" t="s">
        <v>620</v>
      </c>
      <c r="P798" s="25">
        <f t="shared" si="25"/>
        <v>-2.6996773556331011E-2</v>
      </c>
    </row>
    <row r="799" spans="2:16">
      <c r="B799" s="44">
        <v>403.90380837970343</v>
      </c>
      <c r="C799" s="44">
        <v>404.49907613305362</v>
      </c>
      <c r="D799" s="44">
        <v>401.48370341526362</v>
      </c>
      <c r="E799" s="44">
        <v>402.70351438524341</v>
      </c>
      <c r="F799" s="44">
        <v>3751504.4237353187</v>
      </c>
      <c r="G799" s="44" t="s">
        <v>621</v>
      </c>
      <c r="H799" s="25">
        <f t="shared" si="26"/>
        <v>2.9805898175294665E-3</v>
      </c>
      <c r="J799" s="44">
        <v>303.74</v>
      </c>
      <c r="K799" s="44">
        <v>305.87</v>
      </c>
      <c r="L799" s="44">
        <v>299.81</v>
      </c>
      <c r="M799" s="44">
        <v>305.23</v>
      </c>
      <c r="N799" s="44">
        <v>1348461</v>
      </c>
      <c r="O799" s="44" t="s">
        <v>621</v>
      </c>
      <c r="P799" s="25">
        <f t="shared" si="25"/>
        <v>-4.8815647216853275E-3</v>
      </c>
    </row>
    <row r="800" spans="2:16">
      <c r="B800" s="44">
        <v>400.43954522496091</v>
      </c>
      <c r="C800" s="44">
        <v>401.46418643974391</v>
      </c>
      <c r="D800" s="44">
        <v>399.11239088962293</v>
      </c>
      <c r="E800" s="44">
        <v>400.12727361664605</v>
      </c>
      <c r="F800" s="44">
        <v>2592356.5846046028</v>
      </c>
      <c r="G800" s="44" t="s">
        <v>622</v>
      </c>
      <c r="H800" s="25">
        <f t="shared" si="26"/>
        <v>7.8043070019284677E-4</v>
      </c>
      <c r="J800" s="44">
        <v>302.7</v>
      </c>
      <c r="K800" s="44">
        <v>304.95</v>
      </c>
      <c r="L800" s="44">
        <v>300.14</v>
      </c>
      <c r="M800" s="44">
        <v>301.05</v>
      </c>
      <c r="N800" s="44">
        <v>1225361</v>
      </c>
      <c r="O800" s="44" t="s">
        <v>622</v>
      </c>
      <c r="P800" s="25">
        <f t="shared" si="25"/>
        <v>5.4808171400098082E-3</v>
      </c>
    </row>
    <row r="801" spans="2:16">
      <c r="B801" s="44">
        <v>399.97113781248868</v>
      </c>
      <c r="C801" s="44">
        <v>402.19607302173176</v>
      </c>
      <c r="D801" s="44">
        <v>399.40514552241808</v>
      </c>
      <c r="E801" s="44">
        <v>400.78109229655524</v>
      </c>
      <c r="F801" s="44">
        <v>7783271.5344061935</v>
      </c>
      <c r="G801" s="44" t="s">
        <v>623</v>
      </c>
      <c r="H801" s="25">
        <f t="shared" si="26"/>
        <v>-2.020939858777715E-3</v>
      </c>
      <c r="J801" s="44">
        <v>301.55</v>
      </c>
      <c r="K801" s="44">
        <v>302.88</v>
      </c>
      <c r="L801" s="44">
        <v>300</v>
      </c>
      <c r="M801" s="44">
        <v>300.92</v>
      </c>
      <c r="N801" s="44">
        <v>1205376</v>
      </c>
      <c r="O801" s="44" t="s">
        <v>623</v>
      </c>
      <c r="P801" s="25">
        <f t="shared" si="25"/>
        <v>2.0935796889538505E-3</v>
      </c>
    </row>
    <row r="802" spans="2:16">
      <c r="B802" s="44">
        <v>402.12776360741293</v>
      </c>
      <c r="C802" s="44">
        <v>402.42051824020808</v>
      </c>
      <c r="D802" s="44">
        <v>400.3809942984019</v>
      </c>
      <c r="E802" s="44">
        <v>401.93259385221614</v>
      </c>
      <c r="F802" s="44">
        <v>3429386.8910437454</v>
      </c>
      <c r="G802" s="44" t="s">
        <v>624</v>
      </c>
      <c r="H802" s="25">
        <f t="shared" si="26"/>
        <v>4.8557832378359755E-4</v>
      </c>
      <c r="J802" s="44">
        <v>302.35000000000002</v>
      </c>
      <c r="K802" s="44">
        <v>304.185</v>
      </c>
      <c r="L802" s="44">
        <v>298.697</v>
      </c>
      <c r="M802" s="44">
        <v>300</v>
      </c>
      <c r="N802" s="44">
        <v>1566542</v>
      </c>
      <c r="O802" s="44" t="s">
        <v>624</v>
      </c>
      <c r="P802" s="25">
        <f t="shared" si="25"/>
        <v>7.8333333333333588E-3</v>
      </c>
    </row>
    <row r="803" spans="2:16">
      <c r="B803" s="44">
        <v>399.50273040001645</v>
      </c>
      <c r="C803" s="44">
        <v>400.91771112519297</v>
      </c>
      <c r="D803" s="44">
        <v>398.62446650163099</v>
      </c>
      <c r="E803" s="44">
        <v>398.94649659770567</v>
      </c>
      <c r="F803" s="44">
        <v>4227317.901629867</v>
      </c>
      <c r="G803" s="44" t="s">
        <v>625</v>
      </c>
      <c r="H803" s="25">
        <f t="shared" si="26"/>
        <v>1.3942566410645174E-3</v>
      </c>
      <c r="J803" s="44">
        <v>298.22000000000003</v>
      </c>
      <c r="K803" s="44">
        <v>300.22000000000003</v>
      </c>
      <c r="L803" s="44">
        <v>296.57499999999999</v>
      </c>
      <c r="M803" s="44">
        <v>297.55</v>
      </c>
      <c r="N803" s="44">
        <v>1507751</v>
      </c>
      <c r="O803" s="44" t="s">
        <v>625</v>
      </c>
      <c r="P803" s="25">
        <f t="shared" si="25"/>
        <v>2.2517223995968116E-3</v>
      </c>
    </row>
    <row r="804" spans="2:16">
      <c r="B804" s="44">
        <v>398.9562550854655</v>
      </c>
      <c r="C804" s="44">
        <v>399.5417643510558</v>
      </c>
      <c r="D804" s="44">
        <v>397.02895375289745</v>
      </c>
      <c r="E804" s="44">
        <v>397.33634611733237</v>
      </c>
      <c r="F804" s="44">
        <v>2301339.1575307297</v>
      </c>
      <c r="G804" s="44" t="s">
        <v>626</v>
      </c>
      <c r="H804" s="25">
        <f t="shared" si="26"/>
        <v>4.0769211877103029E-3</v>
      </c>
      <c r="J804" s="44">
        <v>297.22000000000003</v>
      </c>
      <c r="K804" s="44">
        <v>305.97000000000003</v>
      </c>
      <c r="L804" s="44">
        <v>295.01</v>
      </c>
      <c r="M804" s="44">
        <v>305.52999999999997</v>
      </c>
      <c r="N804" s="44">
        <v>2117376</v>
      </c>
      <c r="O804" s="44" t="s">
        <v>626</v>
      </c>
      <c r="P804" s="25">
        <f t="shared" si="25"/>
        <v>-2.7198638431577771E-2</v>
      </c>
    </row>
    <row r="805" spans="2:16">
      <c r="B805" s="44">
        <v>400.14679059216576</v>
      </c>
      <c r="C805" s="44">
        <v>402.17655604621211</v>
      </c>
      <c r="D805" s="44">
        <v>397.98040630948168</v>
      </c>
      <c r="E805" s="44">
        <v>402.14728058293264</v>
      </c>
      <c r="F805" s="44">
        <v>3836729.7189314449</v>
      </c>
      <c r="G805" s="44" t="s">
        <v>627</v>
      </c>
      <c r="H805" s="25">
        <f t="shared" si="26"/>
        <v>-4.9745207473915753E-3</v>
      </c>
      <c r="J805" s="44">
        <v>307.83999999999997</v>
      </c>
      <c r="K805" s="44">
        <v>309.64999999999998</v>
      </c>
      <c r="L805" s="44">
        <v>303.80180000000001</v>
      </c>
      <c r="M805" s="44">
        <v>309.48</v>
      </c>
      <c r="N805" s="44">
        <v>1171433</v>
      </c>
      <c r="O805" s="44" t="s">
        <v>627</v>
      </c>
      <c r="P805" s="25">
        <f t="shared" si="25"/>
        <v>-5.2992115807162232E-3</v>
      </c>
    </row>
    <row r="806" spans="2:16">
      <c r="B806" s="44">
        <v>402.92795960371961</v>
      </c>
      <c r="C806" s="44">
        <v>404.46004218201426</v>
      </c>
      <c r="D806" s="44">
        <v>402.80109926284172</v>
      </c>
      <c r="E806" s="44">
        <v>404.19656301249859</v>
      </c>
      <c r="F806" s="44">
        <v>4536242.8164519137</v>
      </c>
      <c r="G806" s="44" t="s">
        <v>628</v>
      </c>
      <c r="H806" s="25">
        <f t="shared" si="26"/>
        <v>-3.1385803959439462E-3</v>
      </c>
      <c r="J806" s="44">
        <v>307.68</v>
      </c>
      <c r="K806" s="44">
        <v>311.38</v>
      </c>
      <c r="L806" s="44">
        <v>306.68</v>
      </c>
      <c r="M806" s="44">
        <v>310</v>
      </c>
      <c r="N806" s="44">
        <v>944096</v>
      </c>
      <c r="O806" s="44" t="s">
        <v>628</v>
      </c>
      <c r="P806" s="25">
        <f t="shared" si="25"/>
        <v>-7.4838709677419457E-3</v>
      </c>
    </row>
    <row r="807" spans="2:16">
      <c r="B807" s="44">
        <v>404.69424588825035</v>
      </c>
      <c r="C807" s="44">
        <v>406.81183773213525</v>
      </c>
      <c r="D807" s="44">
        <v>403.23047272427465</v>
      </c>
      <c r="E807" s="44">
        <v>406.40198124622202</v>
      </c>
      <c r="F807" s="44">
        <v>3676769.4834506679</v>
      </c>
      <c r="G807" s="44" t="s">
        <v>629</v>
      </c>
      <c r="H807" s="25">
        <f t="shared" si="26"/>
        <v>-4.2020842337798792E-3</v>
      </c>
      <c r="J807" s="44">
        <v>310.41000000000003</v>
      </c>
      <c r="K807" s="44">
        <v>318.2</v>
      </c>
      <c r="L807" s="44">
        <v>309.2</v>
      </c>
      <c r="M807" s="44">
        <v>317.55</v>
      </c>
      <c r="N807" s="44">
        <v>1335739</v>
      </c>
      <c r="O807" s="44" t="s">
        <v>629</v>
      </c>
      <c r="P807" s="25">
        <f t="shared" si="25"/>
        <v>-2.2484648086915415E-2</v>
      </c>
    </row>
    <row r="808" spans="2:16">
      <c r="B808" s="44">
        <v>403.8354989653846</v>
      </c>
      <c r="C808" s="44">
        <v>406.07019266238757</v>
      </c>
      <c r="D808" s="44">
        <v>403.6696046734674</v>
      </c>
      <c r="E808" s="44">
        <v>404.95967675531801</v>
      </c>
      <c r="F808" s="44">
        <v>4868716.4619436599</v>
      </c>
      <c r="G808" s="44" t="s">
        <v>630</v>
      </c>
      <c r="H808" s="25">
        <f t="shared" si="26"/>
        <v>-2.7760240203190678E-3</v>
      </c>
      <c r="J808" s="44">
        <v>312.68</v>
      </c>
      <c r="K808" s="44">
        <v>321.31</v>
      </c>
      <c r="L808" s="44">
        <v>312.45999999999998</v>
      </c>
      <c r="M808" s="44">
        <v>319.60000000000002</v>
      </c>
      <c r="N808" s="44">
        <v>2076948</v>
      </c>
      <c r="O808" s="44" t="s">
        <v>630</v>
      </c>
      <c r="P808" s="25">
        <f t="shared" si="25"/>
        <v>-2.1652065081351757E-2</v>
      </c>
    </row>
    <row r="809" spans="2:16">
      <c r="B809" s="44">
        <v>404.35269881665607</v>
      </c>
      <c r="C809" s="44">
        <v>405.0057368175444</v>
      </c>
      <c r="D809" s="44">
        <v>402.44003521572773</v>
      </c>
      <c r="E809" s="44">
        <v>403.05481994459751</v>
      </c>
      <c r="F809" s="44">
        <v>3078874.5899393465</v>
      </c>
      <c r="G809" s="44" t="s">
        <v>631</v>
      </c>
      <c r="H809" s="25">
        <f t="shared" si="26"/>
        <v>3.2201050771132333E-3</v>
      </c>
      <c r="J809" s="44">
        <v>318.58</v>
      </c>
      <c r="K809" s="44">
        <v>319.52499999999998</v>
      </c>
      <c r="L809" s="44">
        <v>312.05</v>
      </c>
      <c r="M809" s="44">
        <v>312.05</v>
      </c>
      <c r="N809" s="44">
        <v>2092079</v>
      </c>
      <c r="O809" s="44" t="s">
        <v>631</v>
      </c>
      <c r="P809" s="25">
        <f t="shared" si="25"/>
        <v>2.0926133632430677E-2</v>
      </c>
    </row>
    <row r="810" spans="2:16">
      <c r="B810" s="44">
        <v>402.67423892196388</v>
      </c>
      <c r="C810" s="44">
        <v>403.00602750579839</v>
      </c>
      <c r="D810" s="44">
        <v>396.75083685174206</v>
      </c>
      <c r="E810" s="44">
        <v>396.95576509469862</v>
      </c>
      <c r="F810" s="44">
        <v>3568856.2466954826</v>
      </c>
      <c r="G810" s="44" t="s">
        <v>632</v>
      </c>
      <c r="H810" s="25">
        <f t="shared" si="26"/>
        <v>1.4405821328482338E-2</v>
      </c>
      <c r="J810" s="44">
        <v>310.39</v>
      </c>
      <c r="K810" s="44">
        <v>311.08</v>
      </c>
      <c r="L810" s="44">
        <v>301.5</v>
      </c>
      <c r="M810" s="44">
        <v>301.5</v>
      </c>
      <c r="N810" s="44">
        <v>1804716</v>
      </c>
      <c r="O810" s="44" t="s">
        <v>632</v>
      </c>
      <c r="P810" s="25">
        <f t="shared" si="25"/>
        <v>2.9485903814262082E-2</v>
      </c>
    </row>
    <row r="811" spans="2:16">
      <c r="B811" s="44">
        <v>397.03383299677739</v>
      </c>
      <c r="C811" s="44">
        <v>397.59982528684799</v>
      </c>
      <c r="D811" s="44">
        <v>395.3163391510459</v>
      </c>
      <c r="E811" s="44">
        <v>396.54590860878545</v>
      </c>
      <c r="F811" s="44">
        <v>3316816.1703506233</v>
      </c>
      <c r="G811" s="44" t="s">
        <v>633</v>
      </c>
      <c r="H811" s="25">
        <f t="shared" si="26"/>
        <v>1.2304360665420511E-3</v>
      </c>
      <c r="J811" s="44">
        <v>301.48</v>
      </c>
      <c r="K811" s="44">
        <v>304.91000000000003</v>
      </c>
      <c r="L811" s="44">
        <v>300</v>
      </c>
      <c r="M811" s="44">
        <v>301.22000000000003</v>
      </c>
      <c r="N811" s="44">
        <v>1450309</v>
      </c>
      <c r="O811" s="44" t="s">
        <v>633</v>
      </c>
      <c r="P811" s="25">
        <f t="shared" si="25"/>
        <v>8.6315649691259821E-4</v>
      </c>
    </row>
    <row r="812" spans="2:16">
      <c r="B812" s="44">
        <v>394.43807525266038</v>
      </c>
      <c r="C812" s="44">
        <v>395.99943329423456</v>
      </c>
      <c r="D812" s="44">
        <v>390.05651424849304</v>
      </c>
      <c r="E812" s="44">
        <v>393.34512462355855</v>
      </c>
      <c r="F812" s="44">
        <v>4527171.7388240546</v>
      </c>
      <c r="G812" s="44" t="s">
        <v>634</v>
      </c>
      <c r="H812" s="25">
        <f t="shared" si="26"/>
        <v>2.7786047434750216E-3</v>
      </c>
      <c r="J812" s="44">
        <v>297.55</v>
      </c>
      <c r="K812" s="44">
        <v>298.36</v>
      </c>
      <c r="L812" s="44">
        <v>286.74</v>
      </c>
      <c r="M812" s="44">
        <v>287.27999999999997</v>
      </c>
      <c r="N812" s="44">
        <v>1920616</v>
      </c>
      <c r="O812" s="44" t="s">
        <v>634</v>
      </c>
      <c r="P812" s="25">
        <f t="shared" ref="P812:P875" si="27">J812/M812-1</f>
        <v>3.5749094959621308E-2</v>
      </c>
    </row>
    <row r="813" spans="2:16">
      <c r="B813" s="44">
        <v>391.84231750854349</v>
      </c>
      <c r="C813" s="44">
        <v>399.1992414306855</v>
      </c>
      <c r="D813" s="44">
        <v>391.70569867990571</v>
      </c>
      <c r="E813" s="44">
        <v>398.73180986698924</v>
      </c>
      <c r="F813" s="44">
        <v>3544392.4152212543</v>
      </c>
      <c r="G813" s="44" t="s">
        <v>635</v>
      </c>
      <c r="H813" s="25">
        <f t="shared" si="26"/>
        <v>-1.7278511992168344E-2</v>
      </c>
      <c r="J813" s="44">
        <v>285.64</v>
      </c>
      <c r="K813" s="44">
        <v>293.49</v>
      </c>
      <c r="L813" s="44">
        <v>285.47000000000003</v>
      </c>
      <c r="M813" s="44">
        <v>292.88</v>
      </c>
      <c r="N813" s="44">
        <v>1558938</v>
      </c>
      <c r="O813" s="44" t="s">
        <v>635</v>
      </c>
      <c r="P813" s="25">
        <f t="shared" si="27"/>
        <v>-2.47200218519531E-2</v>
      </c>
    </row>
    <row r="814" spans="2:16">
      <c r="B814" s="44">
        <v>397.12165938661593</v>
      </c>
      <c r="C814" s="44">
        <v>397.82427050532431</v>
      </c>
      <c r="D814" s="44">
        <v>393.72570564619224</v>
      </c>
      <c r="E814" s="44">
        <v>393.81353203603078</v>
      </c>
      <c r="F814" s="44">
        <v>3330397.1680688797</v>
      </c>
      <c r="G814" s="44" t="s">
        <v>636</v>
      </c>
      <c r="H814" s="25">
        <f t="shared" si="26"/>
        <v>8.4002378828427204E-3</v>
      </c>
      <c r="J814" s="44">
        <v>290.39</v>
      </c>
      <c r="K814" s="44">
        <v>292.7</v>
      </c>
      <c r="L814" s="44">
        <v>287.56</v>
      </c>
      <c r="M814" s="44">
        <v>287.56</v>
      </c>
      <c r="N814" s="44">
        <v>1321796</v>
      </c>
      <c r="O814" s="44" t="s">
        <v>636</v>
      </c>
      <c r="P814" s="25">
        <f t="shared" si="27"/>
        <v>9.8414243983864225E-3</v>
      </c>
    </row>
    <row r="815" spans="2:16">
      <c r="B815" s="44">
        <v>392.88647569884614</v>
      </c>
      <c r="C815" s="44">
        <v>395.60909378384099</v>
      </c>
      <c r="D815" s="44">
        <v>392.34975887205502</v>
      </c>
      <c r="E815" s="44">
        <v>395.56030134504181</v>
      </c>
      <c r="F815" s="44">
        <v>2713587.4586001462</v>
      </c>
      <c r="G815" s="44" t="s">
        <v>637</v>
      </c>
      <c r="H815" s="25">
        <f t="shared" si="26"/>
        <v>-6.7595904773651849E-3</v>
      </c>
      <c r="J815" s="44">
        <v>287.16000000000003</v>
      </c>
      <c r="K815" s="44">
        <v>289.08</v>
      </c>
      <c r="L815" s="44">
        <v>285.72500000000002</v>
      </c>
      <c r="M815" s="44">
        <v>287.73</v>
      </c>
      <c r="N815" s="44">
        <v>1161420</v>
      </c>
      <c r="O815" s="44" t="s">
        <v>637</v>
      </c>
      <c r="P815" s="25">
        <f t="shared" si="27"/>
        <v>-1.9810238765508581E-3</v>
      </c>
    </row>
    <row r="816" spans="2:16">
      <c r="B816" s="44">
        <v>393.98918481570786</v>
      </c>
      <c r="C816" s="44">
        <v>394.62348652009734</v>
      </c>
      <c r="D816" s="44">
        <v>390.32975190576855</v>
      </c>
      <c r="E816" s="44">
        <v>392.42782677413373</v>
      </c>
      <c r="F816" s="44">
        <v>3373918.2556033526</v>
      </c>
      <c r="G816" s="44" t="s">
        <v>638</v>
      </c>
      <c r="H816" s="25">
        <f t="shared" si="26"/>
        <v>3.9787138807381162E-3</v>
      </c>
      <c r="J816" s="44">
        <v>286.67</v>
      </c>
      <c r="K816" s="44">
        <v>286.88</v>
      </c>
      <c r="L816" s="44">
        <v>282.5</v>
      </c>
      <c r="M816" s="44">
        <v>286.12</v>
      </c>
      <c r="N816" s="44">
        <v>1776761</v>
      </c>
      <c r="O816" s="44" t="s">
        <v>638</v>
      </c>
      <c r="P816" s="25">
        <f t="shared" si="27"/>
        <v>1.9222703760659599E-3</v>
      </c>
    </row>
    <row r="817" spans="2:16">
      <c r="B817" s="44">
        <v>391.40318555935073</v>
      </c>
      <c r="C817" s="44">
        <v>392.31072492101566</v>
      </c>
      <c r="D817" s="44">
        <v>388.24143552516318</v>
      </c>
      <c r="E817" s="44">
        <v>388.55370713347799</v>
      </c>
      <c r="F817" s="44">
        <v>4260564.8562794654</v>
      </c>
      <c r="G817" s="44" t="s">
        <v>639</v>
      </c>
      <c r="H817" s="25">
        <f t="shared" si="26"/>
        <v>7.3335509958056821E-3</v>
      </c>
      <c r="J817" s="44">
        <v>285.95</v>
      </c>
      <c r="K817" s="44">
        <v>291.06</v>
      </c>
      <c r="L817" s="44">
        <v>284.88</v>
      </c>
      <c r="M817" s="44">
        <v>287.45999999999998</v>
      </c>
      <c r="N817" s="44">
        <v>2983657</v>
      </c>
      <c r="O817" s="44" t="s">
        <v>639</v>
      </c>
      <c r="P817" s="25">
        <f t="shared" si="27"/>
        <v>-5.2529047519654926E-3</v>
      </c>
    </row>
    <row r="818" spans="2:16">
      <c r="B818" s="44">
        <v>391.04212151223675</v>
      </c>
      <c r="C818" s="44">
        <v>395.78474656351807</v>
      </c>
      <c r="D818" s="44">
        <v>390.70057444064236</v>
      </c>
      <c r="E818" s="44">
        <v>395.5407843695221</v>
      </c>
      <c r="F818" s="44">
        <v>7278283.4541545361</v>
      </c>
      <c r="G818" s="44" t="s">
        <v>640</v>
      </c>
      <c r="H818" s="25">
        <f t="shared" si="26"/>
        <v>-1.137344879480906E-2</v>
      </c>
      <c r="J818" s="44">
        <v>290.08</v>
      </c>
      <c r="K818" s="44">
        <v>299.57</v>
      </c>
      <c r="L818" s="44">
        <v>289.11</v>
      </c>
      <c r="M818" s="44">
        <v>298.06</v>
      </c>
      <c r="N818" s="44">
        <v>2061638</v>
      </c>
      <c r="O818" s="44" t="s">
        <v>640</v>
      </c>
      <c r="P818" s="25">
        <f t="shared" si="27"/>
        <v>-2.6773132926256493E-2</v>
      </c>
    </row>
    <row r="819" spans="2:16">
      <c r="B819" s="44">
        <v>394.23314700970383</v>
      </c>
      <c r="C819" s="44">
        <v>398.25364396675718</v>
      </c>
      <c r="D819" s="44">
        <v>394.11604515658576</v>
      </c>
      <c r="E819" s="44">
        <v>396.77035382726172</v>
      </c>
      <c r="F819" s="44">
        <v>3436652.3610371388</v>
      </c>
      <c r="G819" s="44" t="s">
        <v>641</v>
      </c>
      <c r="H819" s="25">
        <f t="shared" si="26"/>
        <v>-6.3946481713764713E-3</v>
      </c>
      <c r="J819" s="44">
        <v>299.32</v>
      </c>
      <c r="K819" s="44">
        <v>306.27</v>
      </c>
      <c r="L819" s="44">
        <v>299.10000000000002</v>
      </c>
      <c r="M819" s="44">
        <v>305.60000000000002</v>
      </c>
      <c r="N819" s="44">
        <v>1441637</v>
      </c>
      <c r="O819" s="44" t="s">
        <v>641</v>
      </c>
      <c r="P819" s="25">
        <f t="shared" si="27"/>
        <v>-2.0549738219895364E-2</v>
      </c>
    </row>
    <row r="820" spans="2:16">
      <c r="B820" s="44">
        <v>397.17045182541511</v>
      </c>
      <c r="C820" s="44">
        <v>401.76913918223886</v>
      </c>
      <c r="D820" s="44">
        <v>396.59470104758469</v>
      </c>
      <c r="E820" s="44">
        <v>400.18582454320511</v>
      </c>
      <c r="F820" s="44">
        <v>4802095.4837757498</v>
      </c>
      <c r="G820" s="44" t="s">
        <v>642</v>
      </c>
      <c r="H820" s="25">
        <f t="shared" si="26"/>
        <v>-7.5349313565314935E-3</v>
      </c>
      <c r="J820" s="44">
        <v>306.62</v>
      </c>
      <c r="K820" s="44">
        <v>312.3</v>
      </c>
      <c r="L820" s="44">
        <v>305.93</v>
      </c>
      <c r="M820" s="44">
        <v>306.08999999999997</v>
      </c>
      <c r="N820" s="44">
        <v>1342268</v>
      </c>
      <c r="O820" s="44" t="s">
        <v>642</v>
      </c>
      <c r="P820" s="25">
        <f t="shared" si="27"/>
        <v>1.7315168741220965E-3</v>
      </c>
    </row>
    <row r="821" spans="2:16">
      <c r="B821" s="44">
        <v>401.77645804805877</v>
      </c>
      <c r="C821" s="44">
        <v>401.79597502357842</v>
      </c>
      <c r="D821" s="44">
        <v>398.44881372195391</v>
      </c>
      <c r="E821" s="44">
        <v>398.69277591594988</v>
      </c>
      <c r="F821" s="44">
        <v>2841538.6361523434</v>
      </c>
      <c r="G821" s="44" t="s">
        <v>643</v>
      </c>
      <c r="H821" s="25">
        <f t="shared" si="26"/>
        <v>7.7344820834148731E-3</v>
      </c>
      <c r="J821" s="44">
        <v>305.08</v>
      </c>
      <c r="K821" s="44">
        <v>305.89</v>
      </c>
      <c r="L821" s="44">
        <v>303.23</v>
      </c>
      <c r="M821" s="44">
        <v>304.86</v>
      </c>
      <c r="N821" s="44">
        <v>950822</v>
      </c>
      <c r="O821" s="44" t="s">
        <v>643</v>
      </c>
      <c r="P821" s="25">
        <f t="shared" si="27"/>
        <v>7.216427212490828E-4</v>
      </c>
    </row>
    <row r="822" spans="2:16">
      <c r="B822" s="44">
        <v>399.52224737553615</v>
      </c>
      <c r="C822" s="44">
        <v>400.49809615151997</v>
      </c>
      <c r="D822" s="44">
        <v>397.50224040924957</v>
      </c>
      <c r="E822" s="44">
        <v>398.09750816259975</v>
      </c>
      <c r="F822" s="44">
        <v>2991100.7441263557</v>
      </c>
      <c r="G822" s="44" t="s">
        <v>644</v>
      </c>
      <c r="H822" s="25">
        <f t="shared" si="26"/>
        <v>3.5788699595540319E-3</v>
      </c>
      <c r="J822" s="44">
        <v>304.49</v>
      </c>
      <c r="K822" s="44">
        <v>306.0908</v>
      </c>
      <c r="L822" s="44">
        <v>302.52</v>
      </c>
      <c r="M822" s="44">
        <v>302.93</v>
      </c>
      <c r="N822" s="44">
        <v>933712</v>
      </c>
      <c r="O822" s="44" t="s">
        <v>644</v>
      </c>
      <c r="P822" s="25">
        <f t="shared" si="27"/>
        <v>5.1497045522068685E-3</v>
      </c>
    </row>
    <row r="823" spans="2:16">
      <c r="B823" s="44">
        <v>399.89306991041002</v>
      </c>
      <c r="C823" s="44">
        <v>405.02603447208486</v>
      </c>
      <c r="D823" s="44">
        <v>398.75132684250889</v>
      </c>
      <c r="E823" s="44">
        <v>401.85452595013749</v>
      </c>
      <c r="F823" s="44">
        <v>4701882.2105650436</v>
      </c>
      <c r="G823" s="44" t="s">
        <v>645</v>
      </c>
      <c r="H823" s="25">
        <f t="shared" si="26"/>
        <v>-4.8810101991257904E-3</v>
      </c>
      <c r="J823" s="44">
        <v>304.67</v>
      </c>
      <c r="K823" s="44">
        <v>308.60000000000002</v>
      </c>
      <c r="L823" s="44">
        <v>303.82240000000002</v>
      </c>
      <c r="M823" s="44">
        <v>305.75</v>
      </c>
      <c r="N823" s="44">
        <v>1054809</v>
      </c>
      <c r="O823" s="44" t="s">
        <v>645</v>
      </c>
      <c r="P823" s="25">
        <f t="shared" si="27"/>
        <v>-3.5322976287815999E-3</v>
      </c>
    </row>
    <row r="824" spans="2:16">
      <c r="B824" s="44">
        <v>399.65886620417388</v>
      </c>
      <c r="C824" s="44">
        <v>402.76206531180242</v>
      </c>
      <c r="D824" s="44">
        <v>398.97577206098521</v>
      </c>
      <c r="E824" s="44">
        <v>402.69375589748358</v>
      </c>
      <c r="F824" s="44">
        <v>3223792.5357116582</v>
      </c>
      <c r="G824" s="44" t="s">
        <v>646</v>
      </c>
      <c r="H824" s="25">
        <f t="shared" si="26"/>
        <v>-7.5364707022731459E-3</v>
      </c>
      <c r="J824" s="44">
        <v>304.10000000000002</v>
      </c>
      <c r="K824" s="44">
        <v>307.39999999999998</v>
      </c>
      <c r="L824" s="44">
        <v>302.47000000000003</v>
      </c>
      <c r="M824" s="44">
        <v>302.87</v>
      </c>
      <c r="N824" s="44">
        <v>1218971</v>
      </c>
      <c r="O824" s="44" t="s">
        <v>646</v>
      </c>
      <c r="P824" s="25">
        <f t="shared" si="27"/>
        <v>4.0611483474759513E-3</v>
      </c>
    </row>
    <row r="825" spans="2:16">
      <c r="B825" s="44">
        <v>402.33269185036954</v>
      </c>
      <c r="C825" s="44">
        <v>402.77182379956224</v>
      </c>
      <c r="D825" s="44">
        <v>399.24413047438071</v>
      </c>
      <c r="E825" s="44">
        <v>401.81549199909807</v>
      </c>
      <c r="F825" s="44">
        <v>3873639.1262970357</v>
      </c>
      <c r="G825" s="44" t="s">
        <v>647</v>
      </c>
      <c r="H825" s="25">
        <f t="shared" si="26"/>
        <v>1.2871575675150737E-3</v>
      </c>
      <c r="J825" s="44">
        <v>302.87</v>
      </c>
      <c r="K825" s="44">
        <v>306.27</v>
      </c>
      <c r="L825" s="44">
        <v>297.17</v>
      </c>
      <c r="M825" s="44">
        <v>306.24</v>
      </c>
      <c r="N825" s="44">
        <v>2272431</v>
      </c>
      <c r="O825" s="44" t="s">
        <v>647</v>
      </c>
      <c r="P825" s="25">
        <f t="shared" si="27"/>
        <v>-1.1004440961337569E-2</v>
      </c>
    </row>
    <row r="826" spans="2:16">
      <c r="B826" s="44">
        <v>404.07946115938057</v>
      </c>
      <c r="C826" s="44">
        <v>404.235596963538</v>
      </c>
      <c r="D826" s="44">
        <v>401.69839014598006</v>
      </c>
      <c r="E826" s="44">
        <v>402.33269185036954</v>
      </c>
      <c r="F826" s="44">
        <v>2662274.1801164825</v>
      </c>
      <c r="G826" s="44" t="s">
        <v>648</v>
      </c>
      <c r="H826" s="25">
        <f t="shared" si="26"/>
        <v>4.341604210628347E-3</v>
      </c>
      <c r="J826" s="44">
        <v>309.24</v>
      </c>
      <c r="K826" s="44">
        <v>312.86</v>
      </c>
      <c r="L826" s="44">
        <v>307.66000000000003</v>
      </c>
      <c r="M826" s="44">
        <v>310</v>
      </c>
      <c r="N826" s="44">
        <v>1658934</v>
      </c>
      <c r="O826" s="44" t="s">
        <v>648</v>
      </c>
      <c r="P826" s="25">
        <f t="shared" si="27"/>
        <v>-2.4516129032258194E-3</v>
      </c>
    </row>
    <row r="827" spans="2:16">
      <c r="B827" s="44">
        <v>400.46882068824044</v>
      </c>
      <c r="C827" s="44">
        <v>406.07848737698339</v>
      </c>
      <c r="D827" s="44">
        <v>400.12727361664605</v>
      </c>
      <c r="E827" s="44">
        <v>404.1477705736994</v>
      </c>
      <c r="F827" s="44">
        <v>5858762.280288795</v>
      </c>
      <c r="G827" s="44" t="s">
        <v>649</v>
      </c>
      <c r="H827" s="25">
        <f t="shared" si="26"/>
        <v>-9.1029820113484039E-3</v>
      </c>
      <c r="J827" s="44">
        <v>309.31</v>
      </c>
      <c r="K827" s="44">
        <v>313.27</v>
      </c>
      <c r="L827" s="44">
        <v>308.25</v>
      </c>
      <c r="M827" s="44">
        <v>311.89999999999998</v>
      </c>
      <c r="N827" s="44">
        <v>1656890</v>
      </c>
      <c r="O827" s="44" t="s">
        <v>649</v>
      </c>
      <c r="P827" s="25">
        <f t="shared" si="27"/>
        <v>-8.3039435716575349E-3</v>
      </c>
    </row>
    <row r="828" spans="2:16">
      <c r="B828" s="44">
        <v>402.44003521572773</v>
      </c>
      <c r="C828" s="44">
        <v>404.18680452473876</v>
      </c>
      <c r="D828" s="44">
        <v>401.16167331918894</v>
      </c>
      <c r="E828" s="44">
        <v>401.73742409701941</v>
      </c>
      <c r="F828" s="44">
        <v>3103143.719114739</v>
      </c>
      <c r="G828" s="44" t="s">
        <v>650</v>
      </c>
      <c r="H828" s="25">
        <f t="shared" si="26"/>
        <v>1.748931208705784E-3</v>
      </c>
      <c r="J828" s="44">
        <v>311.27999999999997</v>
      </c>
      <c r="K828" s="44">
        <v>313.28500000000003</v>
      </c>
      <c r="L828" s="44">
        <v>306.08999999999997</v>
      </c>
      <c r="M828" s="44">
        <v>310.38</v>
      </c>
      <c r="N828" s="44">
        <v>1636155</v>
      </c>
      <c r="O828" s="44" t="s">
        <v>650</v>
      </c>
      <c r="P828" s="25">
        <f t="shared" si="27"/>
        <v>2.8996713705780053E-3</v>
      </c>
    </row>
    <row r="829" spans="2:16">
      <c r="B829" s="44">
        <v>403.58177828362881</v>
      </c>
      <c r="C829" s="44">
        <v>406.63618495245817</v>
      </c>
      <c r="D829" s="44">
        <v>402.90844262819996</v>
      </c>
      <c r="E829" s="44">
        <v>406.40198124622202</v>
      </c>
      <c r="F829" s="44">
        <v>5102294.661363136</v>
      </c>
      <c r="G829" s="44" t="s">
        <v>651</v>
      </c>
      <c r="H829" s="25">
        <f t="shared" si="26"/>
        <v>-6.9394419632137216E-3</v>
      </c>
      <c r="J829" s="44">
        <v>313.87</v>
      </c>
      <c r="K829" s="44">
        <v>322.61500000000001</v>
      </c>
      <c r="L829" s="44">
        <v>313.33999999999997</v>
      </c>
      <c r="M829" s="44">
        <v>320.58999999999997</v>
      </c>
      <c r="N829" s="44">
        <v>1907204</v>
      </c>
      <c r="O829" s="44" t="s">
        <v>651</v>
      </c>
      <c r="P829" s="25">
        <f t="shared" si="27"/>
        <v>-2.0961352506316366E-2</v>
      </c>
    </row>
    <row r="830" spans="2:16">
      <c r="B830" s="44">
        <v>409.25145967209482</v>
      </c>
      <c r="C830" s="44">
        <v>409.93455381528349</v>
      </c>
      <c r="D830" s="44">
        <v>408.44150518802826</v>
      </c>
      <c r="E830" s="44">
        <v>409.13435781897675</v>
      </c>
      <c r="F830" s="44">
        <v>3214919.2346294592</v>
      </c>
      <c r="G830" s="44" t="s">
        <v>652</v>
      </c>
      <c r="H830" s="25">
        <f t="shared" si="26"/>
        <v>2.8621857558563946E-4</v>
      </c>
      <c r="J830" s="44">
        <v>323.95</v>
      </c>
      <c r="K830" s="44">
        <v>324.52</v>
      </c>
      <c r="L830" s="44">
        <v>321.7</v>
      </c>
      <c r="M830" s="44">
        <v>322</v>
      </c>
      <c r="N830" s="44">
        <v>1347004</v>
      </c>
      <c r="O830" s="44" t="s">
        <v>652</v>
      </c>
      <c r="P830" s="25">
        <f t="shared" si="27"/>
        <v>6.0559006211180488E-3</v>
      </c>
    </row>
    <row r="831" spans="2:16">
      <c r="B831" s="44">
        <v>410.5200630808738</v>
      </c>
      <c r="C831" s="44">
        <v>410.80305922590912</v>
      </c>
      <c r="D831" s="44">
        <v>408.92942957602014</v>
      </c>
      <c r="E831" s="44">
        <v>410.16875752151958</v>
      </c>
      <c r="F831" s="44">
        <v>3540033.1332252184</v>
      </c>
      <c r="G831" s="44" t="s">
        <v>653</v>
      </c>
      <c r="H831" s="25">
        <f t="shared" si="26"/>
        <v>8.5649029311007929E-4</v>
      </c>
      <c r="J831" s="44">
        <v>324.39999999999998</v>
      </c>
      <c r="K831" s="44">
        <v>326.27</v>
      </c>
      <c r="L831" s="44">
        <v>321.91000000000003</v>
      </c>
      <c r="M831" s="44">
        <v>325.89</v>
      </c>
      <c r="N831" s="44">
        <v>1439063</v>
      </c>
      <c r="O831" s="44" t="s">
        <v>653</v>
      </c>
      <c r="P831" s="25">
        <f t="shared" si="27"/>
        <v>-4.5720948786400761E-3</v>
      </c>
    </row>
    <row r="832" spans="2:16">
      <c r="B832" s="44">
        <v>409.72962557232688</v>
      </c>
      <c r="C832" s="44">
        <v>410.46151215431473</v>
      </c>
      <c r="D832" s="44">
        <v>408.06092416539457</v>
      </c>
      <c r="E832" s="44">
        <v>408.81232772290213</v>
      </c>
      <c r="F832" s="44">
        <v>2769618.6812092797</v>
      </c>
      <c r="G832" s="44" t="s">
        <v>654</v>
      </c>
      <c r="H832" s="25">
        <f t="shared" si="26"/>
        <v>2.2438116153056242E-3</v>
      </c>
      <c r="J832" s="44">
        <v>326.52999999999997</v>
      </c>
      <c r="K832" s="44">
        <v>328.7</v>
      </c>
      <c r="L832" s="44">
        <v>324.93</v>
      </c>
      <c r="M832" s="44">
        <v>327.39999999999998</v>
      </c>
      <c r="N832" s="44">
        <v>1467929</v>
      </c>
      <c r="O832" s="44" t="s">
        <v>654</v>
      </c>
      <c r="P832" s="25">
        <f t="shared" si="27"/>
        <v>-2.6572999389126162E-3</v>
      </c>
    </row>
    <row r="833" spans="2:16">
      <c r="B833" s="44">
        <v>405.77743802959242</v>
      </c>
      <c r="C833" s="44">
        <v>411.95456078156997</v>
      </c>
      <c r="D833" s="44">
        <v>404.89917413120696</v>
      </c>
      <c r="E833" s="44">
        <v>411.60325522221586</v>
      </c>
      <c r="F833" s="44">
        <v>4252137.3209867058</v>
      </c>
      <c r="G833" s="44" t="s">
        <v>655</v>
      </c>
      <c r="H833" s="25">
        <f t="shared" si="26"/>
        <v>-1.4153962872519577E-2</v>
      </c>
      <c r="J833" s="44">
        <v>323.56</v>
      </c>
      <c r="K833" s="44">
        <v>333.68</v>
      </c>
      <c r="L833" s="44">
        <v>322.66000000000003</v>
      </c>
      <c r="M833" s="44">
        <v>331.71</v>
      </c>
      <c r="N833" s="44">
        <v>1641631</v>
      </c>
      <c r="O833" s="44" t="s">
        <v>655</v>
      </c>
      <c r="P833" s="25">
        <f t="shared" si="27"/>
        <v>-2.4569654216031966E-2</v>
      </c>
    </row>
    <row r="834" spans="2:16">
      <c r="B834" s="44">
        <v>408.54884855338651</v>
      </c>
      <c r="C834" s="44">
        <v>409.74914254784653</v>
      </c>
      <c r="D834" s="44">
        <v>406.51908309934009</v>
      </c>
      <c r="E834" s="44">
        <v>407.53396582636327</v>
      </c>
      <c r="F834" s="44">
        <v>6290766.7161963824</v>
      </c>
      <c r="G834" s="44" t="s">
        <v>656</v>
      </c>
      <c r="H834" s="25">
        <f t="shared" ref="H834:H897" si="28">B834/E834-1</f>
        <v>2.4903021885926968E-3</v>
      </c>
      <c r="J834" s="44">
        <v>329.37</v>
      </c>
      <c r="K834" s="44">
        <v>331.02</v>
      </c>
      <c r="L834" s="44">
        <v>326.56</v>
      </c>
      <c r="M834" s="44">
        <v>328.27</v>
      </c>
      <c r="N834" s="44">
        <v>1258762</v>
      </c>
      <c r="O834" s="44" t="s">
        <v>656</v>
      </c>
      <c r="P834" s="25">
        <f t="shared" si="27"/>
        <v>3.3509001736375943E-3</v>
      </c>
    </row>
    <row r="835" spans="2:16">
      <c r="B835" s="44">
        <v>408.45126367578808</v>
      </c>
      <c r="C835" s="44">
        <v>409.51493884161044</v>
      </c>
      <c r="D835" s="44">
        <v>406.99471179275463</v>
      </c>
      <c r="E835" s="44">
        <v>407.00700748733203</v>
      </c>
      <c r="F835" s="44">
        <v>4047049.1916315909</v>
      </c>
      <c r="G835" s="44" t="s">
        <v>657</v>
      </c>
      <c r="H835" s="25">
        <f t="shared" si="28"/>
        <v>3.548479907931279E-3</v>
      </c>
      <c r="J835" s="44">
        <v>330.9</v>
      </c>
      <c r="K835" s="44">
        <v>331.55500000000001</v>
      </c>
      <c r="L835" s="44">
        <v>322.45999999999998</v>
      </c>
      <c r="M835" s="44">
        <v>322.76</v>
      </c>
      <c r="N835" s="44">
        <v>2021416</v>
      </c>
      <c r="O835" s="44" t="s">
        <v>657</v>
      </c>
      <c r="P835" s="25">
        <f t="shared" si="27"/>
        <v>2.5219977692402917E-2</v>
      </c>
    </row>
    <row r="836" spans="2:16">
      <c r="B836" s="44">
        <v>407.25096968132794</v>
      </c>
      <c r="C836" s="44">
        <v>408.00237323883556</v>
      </c>
      <c r="D836" s="44">
        <v>405.96772854090926</v>
      </c>
      <c r="E836" s="44">
        <v>406.51908309934009</v>
      </c>
      <c r="F836" s="44">
        <v>3557032.6934114527</v>
      </c>
      <c r="G836" s="44" t="s">
        <v>658</v>
      </c>
      <c r="H836" s="25">
        <f t="shared" si="28"/>
        <v>1.8003744778913866E-3</v>
      </c>
      <c r="J836" s="44">
        <v>323.56</v>
      </c>
      <c r="K836" s="44">
        <v>337.85</v>
      </c>
      <c r="L836" s="44">
        <v>322.64</v>
      </c>
      <c r="M836" s="44">
        <v>336.76</v>
      </c>
      <c r="N836" s="44">
        <v>2999129</v>
      </c>
      <c r="O836" s="44" t="s">
        <v>658</v>
      </c>
      <c r="P836" s="25">
        <f t="shared" si="27"/>
        <v>-3.919705428198117E-2</v>
      </c>
    </row>
    <row r="837" spans="2:16">
      <c r="B837" s="44">
        <v>405.53347583559645</v>
      </c>
      <c r="C837" s="44">
        <v>407.22169421804847</v>
      </c>
      <c r="D837" s="44">
        <v>405.44564944575791</v>
      </c>
      <c r="E837" s="44">
        <v>407.03628295061156</v>
      </c>
      <c r="F837" s="44">
        <v>3255333.2833740916</v>
      </c>
      <c r="G837" s="44" t="s">
        <v>659</v>
      </c>
      <c r="H837" s="25">
        <f t="shared" si="28"/>
        <v>-3.6920716357795591E-3</v>
      </c>
      <c r="J837" s="44">
        <v>336.66</v>
      </c>
      <c r="K837" s="44">
        <v>345.4</v>
      </c>
      <c r="L837" s="44">
        <v>329.53</v>
      </c>
      <c r="M837" s="44">
        <v>335.91</v>
      </c>
      <c r="N837" s="44">
        <v>9157647</v>
      </c>
      <c r="O837" s="44" t="s">
        <v>659</v>
      </c>
      <c r="P837" s="25">
        <f t="shared" si="27"/>
        <v>2.2327409127445019E-3</v>
      </c>
    </row>
    <row r="838" spans="2:16">
      <c r="B838" s="44">
        <v>405.48468339679727</v>
      </c>
      <c r="C838" s="44">
        <v>408.06092416539457</v>
      </c>
      <c r="D838" s="44">
        <v>404.8015892536086</v>
      </c>
      <c r="E838" s="44">
        <v>407.22169421804847</v>
      </c>
      <c r="F838" s="44">
        <v>4186096.3507195371</v>
      </c>
      <c r="G838" s="44" t="s">
        <v>660</v>
      </c>
      <c r="H838" s="25">
        <f t="shared" si="28"/>
        <v>-4.2655164150491309E-3</v>
      </c>
      <c r="J838" s="44">
        <v>347.66</v>
      </c>
      <c r="K838" s="44">
        <v>353.46</v>
      </c>
      <c r="L838" s="44">
        <v>346.85</v>
      </c>
      <c r="M838" s="44">
        <v>350.05</v>
      </c>
      <c r="N838" s="44">
        <v>3442616</v>
      </c>
      <c r="O838" s="44" t="s">
        <v>660</v>
      </c>
      <c r="P838" s="25">
        <f t="shared" si="27"/>
        <v>-6.827596057705998E-3</v>
      </c>
    </row>
    <row r="839" spans="2:16">
      <c r="B839" s="44">
        <v>408.14875055523311</v>
      </c>
      <c r="C839" s="44">
        <v>409.241701184335</v>
      </c>
      <c r="D839" s="44">
        <v>407.40710548548543</v>
      </c>
      <c r="E839" s="44">
        <v>407.97309777555603</v>
      </c>
      <c r="F839" s="44">
        <v>3581411.4707235582</v>
      </c>
      <c r="G839" s="44" t="s">
        <v>661</v>
      </c>
      <c r="H839" s="25">
        <f t="shared" si="28"/>
        <v>4.3054990791024927E-4</v>
      </c>
      <c r="J839" s="44">
        <v>349.7</v>
      </c>
      <c r="K839" s="44">
        <v>358.07</v>
      </c>
      <c r="L839" s="44">
        <v>348</v>
      </c>
      <c r="M839" s="44">
        <v>357.64</v>
      </c>
      <c r="N839" s="44">
        <v>2580076</v>
      </c>
      <c r="O839" s="44" t="s">
        <v>661</v>
      </c>
      <c r="P839" s="25">
        <f t="shared" si="27"/>
        <v>-2.220109607426457E-2</v>
      </c>
    </row>
    <row r="840" spans="2:16">
      <c r="B840" s="44">
        <v>407.27048665684771</v>
      </c>
      <c r="C840" s="44">
        <v>407.83647894691831</v>
      </c>
      <c r="D840" s="44">
        <v>403.55250282034933</v>
      </c>
      <c r="E840" s="44">
        <v>403.91356686746332</v>
      </c>
      <c r="F840" s="44">
        <v>3686312.9703404387</v>
      </c>
      <c r="G840" s="44" t="s">
        <v>662</v>
      </c>
      <c r="H840" s="25">
        <f t="shared" si="28"/>
        <v>8.3109854799354732E-3</v>
      </c>
      <c r="J840" s="44">
        <v>354.93</v>
      </c>
      <c r="K840" s="44">
        <v>355.495</v>
      </c>
      <c r="L840" s="44">
        <v>346.54</v>
      </c>
      <c r="M840" s="44">
        <v>351.61</v>
      </c>
      <c r="N840" s="44">
        <v>2236757</v>
      </c>
      <c r="O840" s="44" t="s">
        <v>662</v>
      </c>
      <c r="P840" s="25">
        <f t="shared" si="27"/>
        <v>9.4422797986404294E-3</v>
      </c>
    </row>
    <row r="841" spans="2:16">
      <c r="B841" s="44">
        <v>404.20632150025847</v>
      </c>
      <c r="C841" s="44">
        <v>405.22071630289366</v>
      </c>
      <c r="D841" s="44">
        <v>402.66448043420399</v>
      </c>
      <c r="E841" s="44">
        <v>402.6839974097237</v>
      </c>
      <c r="F841" s="44">
        <v>3041728.4655683292</v>
      </c>
      <c r="G841" s="44" t="s">
        <v>663</v>
      </c>
      <c r="H841" s="25">
        <f t="shared" si="28"/>
        <v>3.7804434750998706E-3</v>
      </c>
      <c r="J841" s="44">
        <v>353.84</v>
      </c>
      <c r="K841" s="44">
        <v>355.54</v>
      </c>
      <c r="L841" s="44">
        <v>348.6</v>
      </c>
      <c r="M841" s="44">
        <v>354</v>
      </c>
      <c r="N841" s="44">
        <v>1812580</v>
      </c>
      <c r="O841" s="44" t="s">
        <v>663</v>
      </c>
      <c r="P841" s="25">
        <f t="shared" si="27"/>
        <v>-4.5197740113001039E-4</v>
      </c>
    </row>
    <row r="842" spans="2:16">
      <c r="B842" s="44">
        <v>402.80109926284172</v>
      </c>
      <c r="C842" s="44">
        <v>404.69424588825035</v>
      </c>
      <c r="D842" s="44">
        <v>402.12776360741293</v>
      </c>
      <c r="E842" s="44">
        <v>403.94284233074285</v>
      </c>
      <c r="F842" s="44">
        <v>3772044.4915135377</v>
      </c>
      <c r="G842" s="44" t="s">
        <v>664</v>
      </c>
      <c r="H842" s="25">
        <f t="shared" si="28"/>
        <v>-2.8264965937093711E-3</v>
      </c>
      <c r="J842" s="44">
        <v>354</v>
      </c>
      <c r="K842" s="44">
        <v>355.38</v>
      </c>
      <c r="L842" s="44">
        <v>346.4</v>
      </c>
      <c r="M842" s="44">
        <v>347.5</v>
      </c>
      <c r="N842" s="44">
        <v>2072816</v>
      </c>
      <c r="O842" s="44" t="s">
        <v>664</v>
      </c>
      <c r="P842" s="25">
        <f t="shared" si="27"/>
        <v>1.8705035971223083E-2</v>
      </c>
    </row>
    <row r="843" spans="2:16">
      <c r="B843" s="44">
        <v>403.12312935891646</v>
      </c>
      <c r="C843" s="44">
        <v>403.81598198986495</v>
      </c>
      <c r="D843" s="44">
        <v>401.20070727022829</v>
      </c>
      <c r="E843" s="44">
        <v>401.60080526838169</v>
      </c>
      <c r="F843" s="44">
        <v>3354440.8524771994</v>
      </c>
      <c r="G843" s="44" t="s">
        <v>665</v>
      </c>
      <c r="H843" s="25">
        <f t="shared" si="28"/>
        <v>3.7906400349905223E-3</v>
      </c>
      <c r="J843" s="44">
        <v>346.97</v>
      </c>
      <c r="K843" s="44">
        <v>349.58</v>
      </c>
      <c r="L843" s="44">
        <v>345.95</v>
      </c>
      <c r="M843" s="44">
        <v>348.32</v>
      </c>
      <c r="N843" s="44">
        <v>2314677</v>
      </c>
      <c r="O843" s="44" t="s">
        <v>665</v>
      </c>
      <c r="P843" s="25">
        <f t="shared" si="27"/>
        <v>-3.8757464400550612E-3</v>
      </c>
    </row>
    <row r="844" spans="2:16">
      <c r="B844" s="44">
        <v>399.86379444713043</v>
      </c>
      <c r="C844" s="44">
        <v>401.20070727022829</v>
      </c>
      <c r="D844" s="44">
        <v>398.9172211344262</v>
      </c>
      <c r="E844" s="44">
        <v>400.28340942080348</v>
      </c>
      <c r="F844" s="44">
        <v>4351451.8893759446</v>
      </c>
      <c r="G844" s="44" t="s">
        <v>666</v>
      </c>
      <c r="H844" s="25">
        <f t="shared" si="28"/>
        <v>-1.0482946927033998E-3</v>
      </c>
      <c r="J844" s="44">
        <v>347.59</v>
      </c>
      <c r="K844" s="44">
        <v>348.63</v>
      </c>
      <c r="L844" s="44">
        <v>341.4545</v>
      </c>
      <c r="M844" s="44">
        <v>342.88</v>
      </c>
      <c r="N844" s="44">
        <v>1723521</v>
      </c>
      <c r="O844" s="44" t="s">
        <v>666</v>
      </c>
      <c r="P844" s="25">
        <f t="shared" si="27"/>
        <v>1.3736584227718174E-2</v>
      </c>
    </row>
    <row r="845" spans="2:16">
      <c r="B845" s="44">
        <v>396.74107836398224</v>
      </c>
      <c r="C845" s="44">
        <v>397.17045182541511</v>
      </c>
      <c r="D845" s="44">
        <v>394.01846027898733</v>
      </c>
      <c r="E845" s="44">
        <v>394.99430905497115</v>
      </c>
      <c r="F845" s="44">
        <v>3260618.9384130086</v>
      </c>
      <c r="G845" s="44" t="s">
        <v>667</v>
      </c>
      <c r="H845" s="25">
        <f t="shared" si="28"/>
        <v>4.4222644958866741E-3</v>
      </c>
      <c r="J845" s="44">
        <v>339.11</v>
      </c>
      <c r="K845" s="44">
        <v>342.76</v>
      </c>
      <c r="L845" s="44">
        <v>336.64</v>
      </c>
      <c r="M845" s="44">
        <v>340.92</v>
      </c>
      <c r="N845" s="44">
        <v>1850729</v>
      </c>
      <c r="O845" s="44" t="s">
        <v>667</v>
      </c>
      <c r="P845" s="25">
        <f t="shared" si="27"/>
        <v>-5.3091634401032373E-3</v>
      </c>
    </row>
    <row r="846" spans="2:16">
      <c r="B846" s="44">
        <v>394.21363003418418</v>
      </c>
      <c r="C846" s="44">
        <v>394.3502488628219</v>
      </c>
      <c r="D846" s="44">
        <v>392.34975887205502</v>
      </c>
      <c r="E846" s="44">
        <v>392.90599267436579</v>
      </c>
      <c r="F846" s="44">
        <v>3445489.7959063947</v>
      </c>
      <c r="G846" s="44" t="s">
        <v>668</v>
      </c>
      <c r="H846" s="25">
        <f t="shared" si="28"/>
        <v>3.3281176266053425E-3</v>
      </c>
      <c r="J846" s="44">
        <v>340.27</v>
      </c>
      <c r="K846" s="44">
        <v>341.15</v>
      </c>
      <c r="L846" s="44">
        <v>333.33</v>
      </c>
      <c r="M846" s="44">
        <v>333.33</v>
      </c>
      <c r="N846" s="44">
        <v>2036669</v>
      </c>
      <c r="O846" s="44" t="s">
        <v>668</v>
      </c>
      <c r="P846" s="25">
        <f t="shared" si="27"/>
        <v>2.082020820208208E-2</v>
      </c>
    </row>
    <row r="847" spans="2:16">
      <c r="B847" s="44">
        <v>393.15971335612159</v>
      </c>
      <c r="C847" s="44">
        <v>396.85720436832429</v>
      </c>
      <c r="D847" s="44">
        <v>392.98406057644451</v>
      </c>
      <c r="E847" s="44">
        <v>393.29633218475931</v>
      </c>
      <c r="F847" s="44">
        <v>3764158.0236617527</v>
      </c>
      <c r="G847" s="44" t="s">
        <v>669</v>
      </c>
      <c r="H847" s="25">
        <f t="shared" si="28"/>
        <v>-3.4736868223206319E-4</v>
      </c>
      <c r="J847" s="44">
        <v>331.29</v>
      </c>
      <c r="K847" s="44">
        <v>332.97</v>
      </c>
      <c r="L847" s="44">
        <v>327.62</v>
      </c>
      <c r="M847" s="44">
        <v>329.99</v>
      </c>
      <c r="N847" s="44">
        <v>2015437</v>
      </c>
      <c r="O847" s="44" t="s">
        <v>669</v>
      </c>
      <c r="P847" s="25">
        <f t="shared" si="27"/>
        <v>3.9395133185855524E-3</v>
      </c>
    </row>
    <row r="848" spans="2:16">
      <c r="B848" s="44">
        <v>394.0770112055464</v>
      </c>
      <c r="C848" s="44">
        <v>394.58445256905799</v>
      </c>
      <c r="D848" s="44">
        <v>391.86183448406314</v>
      </c>
      <c r="E848" s="44">
        <v>394.02821876674716</v>
      </c>
      <c r="F848" s="44">
        <v>6189761.3120540967</v>
      </c>
      <c r="G848" s="44" t="s">
        <v>670</v>
      </c>
      <c r="H848" s="25">
        <f t="shared" si="28"/>
        <v>1.2382980831149304E-4</v>
      </c>
      <c r="J848" s="44">
        <v>330.14</v>
      </c>
      <c r="K848" s="44">
        <v>331.65</v>
      </c>
      <c r="L848" s="44">
        <v>328.02</v>
      </c>
      <c r="M848" s="44">
        <v>328.78</v>
      </c>
      <c r="N848" s="44">
        <v>1166456</v>
      </c>
      <c r="O848" s="44" t="s">
        <v>670</v>
      </c>
      <c r="P848" s="25">
        <f t="shared" si="27"/>
        <v>4.1365046535677408E-3</v>
      </c>
    </row>
    <row r="849" spans="2:16">
      <c r="B849" s="44">
        <v>397.31682914181266</v>
      </c>
      <c r="C849" s="44">
        <v>397.9901647972415</v>
      </c>
      <c r="D849" s="44">
        <v>396.20436153719112</v>
      </c>
      <c r="E849" s="44">
        <v>396.20436153719112</v>
      </c>
      <c r="F849" s="44">
        <v>4338914.0860798694</v>
      </c>
      <c r="G849" s="44" t="s">
        <v>671</v>
      </c>
      <c r="H849" s="25">
        <f t="shared" si="28"/>
        <v>2.8078126154527094E-3</v>
      </c>
      <c r="J849" s="44">
        <v>333.89</v>
      </c>
      <c r="K849" s="44">
        <v>336.27499999999998</v>
      </c>
      <c r="L849" s="44">
        <v>331.44</v>
      </c>
      <c r="M849" s="44">
        <v>334.16</v>
      </c>
      <c r="N849" s="44">
        <v>1048378</v>
      </c>
      <c r="O849" s="44" t="s">
        <v>671</v>
      </c>
      <c r="P849" s="25">
        <f t="shared" si="27"/>
        <v>-8.0799616949978059E-4</v>
      </c>
    </row>
    <row r="850" spans="2:16">
      <c r="B850" s="44">
        <v>398.20485152795794</v>
      </c>
      <c r="C850" s="44">
        <v>398.20485152795794</v>
      </c>
      <c r="D850" s="44">
        <v>396.85818021710031</v>
      </c>
      <c r="E850" s="44">
        <v>397.0923839233364</v>
      </c>
      <c r="F850" s="44">
        <v>2430723.9588517216</v>
      </c>
      <c r="G850" s="44" t="s">
        <v>672</v>
      </c>
      <c r="H850" s="25">
        <f t="shared" si="28"/>
        <v>2.8015334709525774E-3</v>
      </c>
      <c r="J850" s="44">
        <v>336.03</v>
      </c>
      <c r="K850" s="44">
        <v>339.92</v>
      </c>
      <c r="L850" s="44">
        <v>334.25</v>
      </c>
      <c r="M850" s="44">
        <v>339.92</v>
      </c>
      <c r="N850" s="44">
        <v>826034</v>
      </c>
      <c r="O850" s="44" t="s">
        <v>672</v>
      </c>
      <c r="P850" s="25">
        <f t="shared" si="27"/>
        <v>-1.1443869145681518E-2</v>
      </c>
    </row>
    <row r="851" spans="2:16">
      <c r="B851" s="44">
        <v>397.44368948269056</v>
      </c>
      <c r="C851" s="44">
        <v>398.36098733211543</v>
      </c>
      <c r="D851" s="44">
        <v>395.5017504184828</v>
      </c>
      <c r="E851" s="44">
        <v>395.60909378384099</v>
      </c>
      <c r="F851" s="44">
        <v>5301735.3993030749</v>
      </c>
      <c r="G851" s="44" t="s">
        <v>673</v>
      </c>
      <c r="H851" s="25">
        <f t="shared" si="28"/>
        <v>4.6373951652687317E-3</v>
      </c>
      <c r="J851" s="44">
        <v>341.94</v>
      </c>
      <c r="K851" s="44">
        <v>344.08</v>
      </c>
      <c r="L851" s="44">
        <v>340.57</v>
      </c>
      <c r="M851" s="44">
        <v>341.33</v>
      </c>
      <c r="N851" s="44">
        <v>1506104</v>
      </c>
      <c r="O851" s="44" t="s">
        <v>673</v>
      </c>
      <c r="P851" s="25">
        <f t="shared" si="27"/>
        <v>1.7871268274105567E-3</v>
      </c>
    </row>
    <row r="852" spans="2:16">
      <c r="B852" s="44">
        <v>392.78889082124778</v>
      </c>
      <c r="C852" s="44">
        <v>392.94502662540521</v>
      </c>
      <c r="D852" s="44">
        <v>390.52492166096528</v>
      </c>
      <c r="E852" s="44">
        <v>390.92501965911868</v>
      </c>
      <c r="F852" s="44">
        <v>4011737.3678653939</v>
      </c>
      <c r="G852" s="44" t="s">
        <v>674</v>
      </c>
      <c r="H852" s="25">
        <f t="shared" si="28"/>
        <v>4.7678482276585221E-3</v>
      </c>
      <c r="J852" s="44">
        <v>338.49</v>
      </c>
      <c r="K852" s="44">
        <v>340.59</v>
      </c>
      <c r="L852" s="44">
        <v>334.61</v>
      </c>
      <c r="M852" s="44">
        <v>335</v>
      </c>
      <c r="N852" s="44">
        <v>1679348</v>
      </c>
      <c r="O852" s="44" t="s">
        <v>674</v>
      </c>
      <c r="P852" s="25">
        <f t="shared" si="27"/>
        <v>1.0417910447761303E-2</v>
      </c>
    </row>
    <row r="853" spans="2:16">
      <c r="B853" s="44">
        <v>391.28979193158125</v>
      </c>
      <c r="C853" s="44">
        <v>392.1986379270005</v>
      </c>
      <c r="D853" s="44">
        <v>389.50126077482031</v>
      </c>
      <c r="E853" s="44">
        <v>390.12335856847631</v>
      </c>
      <c r="F853" s="44">
        <v>4445008.6597304381</v>
      </c>
      <c r="G853" s="44" t="s">
        <v>675</v>
      </c>
      <c r="H853" s="25">
        <f t="shared" si="28"/>
        <v>2.9899090569327491E-3</v>
      </c>
      <c r="J853" s="44">
        <v>332.98</v>
      </c>
      <c r="K853" s="44">
        <v>334.51</v>
      </c>
      <c r="L853" s="44">
        <v>329.48</v>
      </c>
      <c r="M853" s="44">
        <v>330</v>
      </c>
      <c r="N853" s="44">
        <v>1089029</v>
      </c>
      <c r="O853" s="44" t="s">
        <v>675</v>
      </c>
      <c r="P853" s="25">
        <f t="shared" si="27"/>
        <v>9.0303030303031662E-3</v>
      </c>
    </row>
    <row r="854" spans="2:16">
      <c r="B854" s="44">
        <v>391.11482692711547</v>
      </c>
      <c r="C854" s="44">
        <v>391.65916249656448</v>
      </c>
      <c r="D854" s="44">
        <v>387.24615627281742</v>
      </c>
      <c r="E854" s="44">
        <v>387.64468767187827</v>
      </c>
      <c r="F854" s="44">
        <v>4426170.7211948764</v>
      </c>
      <c r="G854" s="44" t="s">
        <v>676</v>
      </c>
      <c r="H854" s="25">
        <f t="shared" si="28"/>
        <v>8.9518555667000843E-3</v>
      </c>
      <c r="J854" s="44">
        <v>330.02</v>
      </c>
      <c r="K854" s="44">
        <v>330.99</v>
      </c>
      <c r="L854" s="44">
        <v>325.29000000000002</v>
      </c>
      <c r="M854" s="44">
        <v>329.51</v>
      </c>
      <c r="N854" s="44">
        <v>1268247</v>
      </c>
      <c r="O854" s="44" t="s">
        <v>676</v>
      </c>
      <c r="P854" s="25">
        <f t="shared" si="27"/>
        <v>1.5477527237413025E-3</v>
      </c>
    </row>
    <row r="855" spans="2:16">
      <c r="B855" s="44">
        <v>386.82818431770477</v>
      </c>
      <c r="C855" s="44">
        <v>389.64706494520846</v>
      </c>
      <c r="D855" s="44">
        <v>386.60461792310969</v>
      </c>
      <c r="E855" s="44">
        <v>387.87797434449925</v>
      </c>
      <c r="F855" s="44">
        <v>3344245.9066982488</v>
      </c>
      <c r="G855" s="44" t="s">
        <v>677</v>
      </c>
      <c r="H855" s="25">
        <f t="shared" si="28"/>
        <v>-2.7064955894147147E-3</v>
      </c>
      <c r="J855" s="44">
        <v>325.16000000000003</v>
      </c>
      <c r="K855" s="44">
        <v>328.43180000000001</v>
      </c>
      <c r="L855" s="44">
        <v>323.23250000000002</v>
      </c>
      <c r="M855" s="44">
        <v>326.60000000000002</v>
      </c>
      <c r="N855" s="44">
        <v>1309314</v>
      </c>
      <c r="O855" s="44" t="s">
        <v>677</v>
      </c>
      <c r="P855" s="25">
        <f t="shared" si="27"/>
        <v>-4.4090630740967196E-3</v>
      </c>
    </row>
    <row r="856" spans="2:16">
      <c r="B856" s="44">
        <v>388.43203019197409</v>
      </c>
      <c r="C856" s="44">
        <v>390.05531662229515</v>
      </c>
      <c r="D856" s="44">
        <v>387.77105128621463</v>
      </c>
      <c r="E856" s="44">
        <v>388.15986240724959</v>
      </c>
      <c r="F856" s="44">
        <v>4336611.5545040993</v>
      </c>
      <c r="G856" s="44" t="s">
        <v>678</v>
      </c>
      <c r="H856" s="25">
        <f t="shared" si="28"/>
        <v>7.0117446723272359E-4</v>
      </c>
      <c r="J856" s="44">
        <v>327.26</v>
      </c>
      <c r="K856" s="44">
        <v>328.67989999999998</v>
      </c>
      <c r="L856" s="44">
        <v>323.72000000000003</v>
      </c>
      <c r="M856" s="44">
        <v>324.70999999999998</v>
      </c>
      <c r="N856" s="44">
        <v>1589159</v>
      </c>
      <c r="O856" s="44" t="s">
        <v>678</v>
      </c>
      <c r="P856" s="25">
        <f t="shared" si="27"/>
        <v>7.8531612823751207E-3</v>
      </c>
    </row>
    <row r="857" spans="2:16">
      <c r="B857" s="44">
        <v>391.36755415578824</v>
      </c>
      <c r="C857" s="44">
        <v>391.45503665802113</v>
      </c>
      <c r="D857" s="44">
        <v>388.76251964485385</v>
      </c>
      <c r="E857" s="44">
        <v>389.08328881970766</v>
      </c>
      <c r="F857" s="44">
        <v>3231410.6568133757</v>
      </c>
      <c r="G857" s="44" t="s">
        <v>679</v>
      </c>
      <c r="H857" s="25">
        <f t="shared" si="28"/>
        <v>5.8708903767363818E-3</v>
      </c>
      <c r="J857" s="44">
        <v>327.61500000000001</v>
      </c>
      <c r="K857" s="44">
        <v>328.28</v>
      </c>
      <c r="L857" s="44">
        <v>322.27999999999997</v>
      </c>
      <c r="M857" s="44">
        <v>323.69</v>
      </c>
      <c r="N857" s="44">
        <v>864439</v>
      </c>
      <c r="O857" s="44" t="s">
        <v>679</v>
      </c>
      <c r="P857" s="25">
        <f t="shared" si="27"/>
        <v>1.2125799375946267E-2</v>
      </c>
    </row>
    <row r="858" spans="2:16">
      <c r="B858" s="44">
        <v>389.94839356401053</v>
      </c>
      <c r="C858" s="44">
        <v>391.78552611090083</v>
      </c>
      <c r="D858" s="44">
        <v>389.46237966271684</v>
      </c>
      <c r="E858" s="44">
        <v>391.05650525896021</v>
      </c>
      <c r="F858" s="44">
        <v>3522062.8369752495</v>
      </c>
      <c r="G858" s="44" t="s">
        <v>680</v>
      </c>
      <c r="H858" s="25">
        <f t="shared" si="28"/>
        <v>-2.8336357535233558E-3</v>
      </c>
      <c r="J858" s="44">
        <v>323.74</v>
      </c>
      <c r="K858" s="44">
        <v>327.83</v>
      </c>
      <c r="L858" s="44">
        <v>322.14499999999998</v>
      </c>
      <c r="M858" s="44">
        <v>327.83</v>
      </c>
      <c r="N858" s="44">
        <v>1445352</v>
      </c>
      <c r="O858" s="44" t="s">
        <v>680</v>
      </c>
      <c r="P858" s="25">
        <f t="shared" si="27"/>
        <v>-1.2475978403440724E-2</v>
      </c>
    </row>
    <row r="859" spans="2:16">
      <c r="B859" s="44">
        <v>392.0965750077288</v>
      </c>
      <c r="C859" s="44">
        <v>393.01028114216103</v>
      </c>
      <c r="D859" s="44">
        <v>390.03587606624342</v>
      </c>
      <c r="E859" s="44">
        <v>392.20349806601342</v>
      </c>
      <c r="F859" s="44">
        <v>4369094.1644829009</v>
      </c>
      <c r="G859" s="44" t="s">
        <v>681</v>
      </c>
      <c r="H859" s="25">
        <f t="shared" si="28"/>
        <v>-2.7262137847283707E-4</v>
      </c>
      <c r="J859" s="44">
        <v>327.83</v>
      </c>
      <c r="K859" s="44">
        <v>329.68239999999997</v>
      </c>
      <c r="L859" s="44">
        <v>324.065</v>
      </c>
      <c r="M859" s="44">
        <v>328</v>
      </c>
      <c r="N859" s="44">
        <v>1726167</v>
      </c>
      <c r="O859" s="44" t="s">
        <v>681</v>
      </c>
      <c r="P859" s="25">
        <f t="shared" si="27"/>
        <v>-5.18292682926913E-4</v>
      </c>
    </row>
    <row r="860" spans="2:16">
      <c r="B860" s="44">
        <v>393.91426699856737</v>
      </c>
      <c r="C860" s="44">
        <v>397.32608458564931</v>
      </c>
      <c r="D860" s="44">
        <v>393.56433698963588</v>
      </c>
      <c r="E860" s="44">
        <v>397.25804263946821</v>
      </c>
      <c r="F860" s="44">
        <v>5289853.8357778713</v>
      </c>
      <c r="G860" s="44" t="s">
        <v>682</v>
      </c>
      <c r="H860" s="25">
        <f t="shared" si="28"/>
        <v>-8.4171376838190204E-3</v>
      </c>
      <c r="J860" s="44">
        <v>329.36</v>
      </c>
      <c r="K860" s="44">
        <v>333.14</v>
      </c>
      <c r="L860" s="44">
        <v>328</v>
      </c>
      <c r="M860" s="44">
        <v>331.69</v>
      </c>
      <c r="N860" s="44">
        <v>3113224</v>
      </c>
      <c r="O860" s="44" t="s">
        <v>682</v>
      </c>
      <c r="P860" s="25">
        <f t="shared" si="27"/>
        <v>-7.024631432964501E-3</v>
      </c>
    </row>
    <row r="861" spans="2:16">
      <c r="B861" s="44">
        <v>395.37230870244855</v>
      </c>
      <c r="C861" s="44">
        <v>396.51930150950176</v>
      </c>
      <c r="D861" s="44">
        <v>389.67622577928603</v>
      </c>
      <c r="E861" s="44">
        <v>389.78314883757065</v>
      </c>
      <c r="F861" s="44">
        <v>5437070.8182747522</v>
      </c>
      <c r="G861" s="44" t="s">
        <v>683</v>
      </c>
      <c r="H861" s="25">
        <f t="shared" si="28"/>
        <v>1.4339152119700715E-2</v>
      </c>
      <c r="J861" s="44">
        <v>328.27</v>
      </c>
      <c r="K861" s="44">
        <v>330.53</v>
      </c>
      <c r="L861" s="44">
        <v>320.45</v>
      </c>
      <c r="M861" s="44">
        <v>322.24</v>
      </c>
      <c r="N861" s="44">
        <v>1783883</v>
      </c>
      <c r="O861" s="44" t="s">
        <v>683</v>
      </c>
      <c r="P861" s="25">
        <f t="shared" si="27"/>
        <v>1.8712760675273055E-2</v>
      </c>
    </row>
    <row r="862" spans="2:16">
      <c r="B862" s="44">
        <v>390.36636551912318</v>
      </c>
      <c r="C862" s="44">
        <v>392.1510085646737</v>
      </c>
      <c r="D862" s="44">
        <v>387.31419821899851</v>
      </c>
      <c r="E862" s="44">
        <v>390.37608579714902</v>
      </c>
      <c r="F862" s="44">
        <v>5309804.9111981187</v>
      </c>
      <c r="G862" s="44" t="s">
        <v>684</v>
      </c>
      <c r="H862" s="25">
        <f t="shared" si="28"/>
        <v>-2.4899778391929139E-5</v>
      </c>
      <c r="J862" s="44">
        <v>323.07</v>
      </c>
      <c r="K862" s="44">
        <v>327.41500000000002</v>
      </c>
      <c r="L862" s="44">
        <v>319.25</v>
      </c>
      <c r="M862" s="44">
        <v>323.07</v>
      </c>
      <c r="N862" s="44">
        <v>2142534</v>
      </c>
      <c r="O862" s="44" t="s">
        <v>684</v>
      </c>
      <c r="P862" s="25">
        <f t="shared" si="27"/>
        <v>0</v>
      </c>
    </row>
    <row r="863" spans="2:16">
      <c r="B863" s="44">
        <v>390.06503690032105</v>
      </c>
      <c r="C863" s="44">
        <v>390.60937246977005</v>
      </c>
      <c r="D863" s="44">
        <v>388.22790435343069</v>
      </c>
      <c r="E863" s="44">
        <v>388.82958956323239</v>
      </c>
      <c r="F863" s="44">
        <v>4025692.4643345485</v>
      </c>
      <c r="G863" s="44" t="s">
        <v>685</v>
      </c>
      <c r="H863" s="25">
        <f t="shared" si="28"/>
        <v>3.1773490759188228E-3</v>
      </c>
      <c r="J863" s="44">
        <v>315.45</v>
      </c>
      <c r="K863" s="44">
        <v>316.98</v>
      </c>
      <c r="L863" s="44">
        <v>312.69</v>
      </c>
      <c r="M863" s="44">
        <v>313.47000000000003</v>
      </c>
      <c r="N863" s="44">
        <v>1052757</v>
      </c>
      <c r="O863" s="44" t="s">
        <v>685</v>
      </c>
      <c r="P863" s="25">
        <f t="shared" si="27"/>
        <v>6.3163939132930835E-3</v>
      </c>
    </row>
    <row r="864" spans="2:16">
      <c r="B864" s="44">
        <v>387.50860377951602</v>
      </c>
      <c r="C864" s="44">
        <v>387.53290447458073</v>
      </c>
      <c r="D864" s="44">
        <v>384.24259036282217</v>
      </c>
      <c r="E864" s="44">
        <v>384.90356926858163</v>
      </c>
      <c r="F864" s="44">
        <v>3906518.9183807769</v>
      </c>
      <c r="G864" s="44" t="s">
        <v>686</v>
      </c>
      <c r="H864" s="25">
        <f t="shared" si="28"/>
        <v>6.7680185867973197E-3</v>
      </c>
      <c r="J864" s="44">
        <v>313.64</v>
      </c>
      <c r="K864" s="44">
        <v>316.27999999999997</v>
      </c>
      <c r="L864" s="44">
        <v>312</v>
      </c>
      <c r="M864" s="44">
        <v>313.83</v>
      </c>
      <c r="N864" s="44">
        <v>1470499</v>
      </c>
      <c r="O864" s="44" t="s">
        <v>686</v>
      </c>
      <c r="P864" s="25">
        <f t="shared" si="27"/>
        <v>-6.0542331835711227E-4</v>
      </c>
    </row>
    <row r="865" spans="2:16">
      <c r="B865" s="44">
        <v>383.98014285612351</v>
      </c>
      <c r="C865" s="44">
        <v>385.8269956810397</v>
      </c>
      <c r="D865" s="44">
        <v>383.05671644366544</v>
      </c>
      <c r="E865" s="44">
        <v>383.9995834121753</v>
      </c>
      <c r="F865" s="44">
        <v>3151008.635603732</v>
      </c>
      <c r="G865" s="44" t="s">
        <v>687</v>
      </c>
      <c r="H865" s="25">
        <f t="shared" si="28"/>
        <v>-5.0626502974382426E-5</v>
      </c>
      <c r="J865" s="44">
        <v>312.76</v>
      </c>
      <c r="K865" s="44">
        <v>313.5</v>
      </c>
      <c r="L865" s="44">
        <v>308.61</v>
      </c>
      <c r="M865" s="44">
        <v>310.82</v>
      </c>
      <c r="N865" s="44">
        <v>938699</v>
      </c>
      <c r="O865" s="44" t="s">
        <v>687</v>
      </c>
      <c r="P865" s="25">
        <f t="shared" si="27"/>
        <v>6.2415545975162967E-3</v>
      </c>
    </row>
    <row r="866" spans="2:16">
      <c r="B866" s="44">
        <v>383.33860450641583</v>
      </c>
      <c r="C866" s="44">
        <v>383.68853451534733</v>
      </c>
      <c r="D866" s="44">
        <v>380.34475887444648</v>
      </c>
      <c r="E866" s="44">
        <v>380.99601750218005</v>
      </c>
      <c r="F866" s="44">
        <v>3559930.066597715</v>
      </c>
      <c r="G866" s="44" t="s">
        <v>688</v>
      </c>
      <c r="H866" s="25">
        <f t="shared" si="28"/>
        <v>6.1485865904684633E-3</v>
      </c>
      <c r="J866" s="44">
        <v>310.82</v>
      </c>
      <c r="K866" s="44">
        <v>311.23</v>
      </c>
      <c r="L866" s="44">
        <v>304.79000000000002</v>
      </c>
      <c r="M866" s="44">
        <v>306.32</v>
      </c>
      <c r="N866" s="44">
        <v>1126663</v>
      </c>
      <c r="O866" s="44" t="s">
        <v>688</v>
      </c>
      <c r="P866" s="25">
        <f t="shared" si="27"/>
        <v>1.4690519717942108E-2</v>
      </c>
    </row>
    <row r="867" spans="2:16">
      <c r="B867" s="44">
        <v>381.05433917033525</v>
      </c>
      <c r="C867" s="44">
        <v>383.7176953494249</v>
      </c>
      <c r="D867" s="44">
        <v>380.58776582509336</v>
      </c>
      <c r="E867" s="44">
        <v>382.65818504460464</v>
      </c>
      <c r="F867" s="44">
        <v>4056358.2538527637</v>
      </c>
      <c r="G867" s="44" t="s">
        <v>689</v>
      </c>
      <c r="H867" s="25">
        <f t="shared" si="28"/>
        <v>-4.1913277618311762E-3</v>
      </c>
      <c r="J867" s="44">
        <v>307.24</v>
      </c>
      <c r="K867" s="44">
        <v>314.815</v>
      </c>
      <c r="L867" s="44">
        <v>306.79000000000002</v>
      </c>
      <c r="M867" s="44">
        <v>314.67</v>
      </c>
      <c r="N867" s="44">
        <v>1368698</v>
      </c>
      <c r="O867" s="44" t="s">
        <v>689</v>
      </c>
      <c r="P867" s="25">
        <f t="shared" si="27"/>
        <v>-2.3612038008071989E-2</v>
      </c>
    </row>
    <row r="868" spans="2:16">
      <c r="B868" s="44">
        <v>382.30825503567314</v>
      </c>
      <c r="C868" s="44">
        <v>382.7748283809151</v>
      </c>
      <c r="D868" s="44">
        <v>380.46140221075694</v>
      </c>
      <c r="E868" s="44">
        <v>381.08350000441294</v>
      </c>
      <c r="F868" s="44">
        <v>2977963.1737843766</v>
      </c>
      <c r="G868" s="44" t="s">
        <v>690</v>
      </c>
      <c r="H868" s="25">
        <f t="shared" si="28"/>
        <v>3.2138757811503993E-3</v>
      </c>
      <c r="J868" s="44">
        <v>315.72000000000003</v>
      </c>
      <c r="K868" s="44">
        <v>318.92</v>
      </c>
      <c r="L868" s="44">
        <v>313</v>
      </c>
      <c r="M868" s="44">
        <v>316.89999999999998</v>
      </c>
      <c r="N868" s="44">
        <v>1132856</v>
      </c>
      <c r="O868" s="44" t="s">
        <v>690</v>
      </c>
      <c r="P868" s="25">
        <f t="shared" si="27"/>
        <v>-3.7235721047647052E-3</v>
      </c>
    </row>
    <row r="869" spans="2:16">
      <c r="B869" s="44">
        <v>381.52091251557727</v>
      </c>
      <c r="C869" s="44">
        <v>383.7274156274508</v>
      </c>
      <c r="D869" s="44">
        <v>380.83077277574017</v>
      </c>
      <c r="E869" s="44">
        <v>382.53182143026822</v>
      </c>
      <c r="F869" s="44">
        <v>4127225.568364379</v>
      </c>
      <c r="G869" s="44" t="s">
        <v>691</v>
      </c>
      <c r="H869" s="25">
        <f t="shared" si="28"/>
        <v>-2.642679270213999E-3</v>
      </c>
      <c r="J869" s="44">
        <v>317.49</v>
      </c>
      <c r="K869" s="44">
        <v>318.62</v>
      </c>
      <c r="L869" s="44">
        <v>310.87009999999998</v>
      </c>
      <c r="M869" s="44">
        <v>311.851</v>
      </c>
      <c r="N869" s="44">
        <v>1514742</v>
      </c>
      <c r="O869" s="44" t="s">
        <v>691</v>
      </c>
      <c r="P869" s="25">
        <f t="shared" si="27"/>
        <v>1.8082353431606801E-2</v>
      </c>
    </row>
    <row r="870" spans="2:16">
      <c r="B870" s="44">
        <v>382.25965364554372</v>
      </c>
      <c r="C870" s="44">
        <v>382.94007310735492</v>
      </c>
      <c r="D870" s="44">
        <v>378.64371021991843</v>
      </c>
      <c r="E870" s="44">
        <v>379.16860523331559</v>
      </c>
      <c r="F870" s="44">
        <v>7580958.055299025</v>
      </c>
      <c r="G870" s="44" t="s">
        <v>692</v>
      </c>
      <c r="H870" s="25">
        <f t="shared" si="28"/>
        <v>8.152173913043459E-3</v>
      </c>
      <c r="J870" s="44">
        <v>312.18</v>
      </c>
      <c r="K870" s="44">
        <v>313.47000000000003</v>
      </c>
      <c r="L870" s="44">
        <v>308.82</v>
      </c>
      <c r="M870" s="44">
        <v>310.54000000000002</v>
      </c>
      <c r="N870" s="44">
        <v>1276220</v>
      </c>
      <c r="O870" s="44" t="s">
        <v>692</v>
      </c>
      <c r="P870" s="25">
        <f t="shared" si="27"/>
        <v>5.2811232047400569E-3</v>
      </c>
    </row>
    <row r="871" spans="2:16">
      <c r="B871" s="44">
        <v>376.72881544882108</v>
      </c>
      <c r="C871" s="44">
        <v>377.70084325140857</v>
      </c>
      <c r="D871" s="44">
        <v>372.25748755691882</v>
      </c>
      <c r="E871" s="44">
        <v>373.45308175410133</v>
      </c>
      <c r="F871" s="44">
        <v>3666103.9843861563</v>
      </c>
      <c r="G871" s="44" t="s">
        <v>693</v>
      </c>
      <c r="H871" s="25">
        <f t="shared" si="28"/>
        <v>8.7714731910464305E-3</v>
      </c>
      <c r="J871" s="44">
        <v>310.54000000000002</v>
      </c>
      <c r="K871" s="44">
        <v>311.33</v>
      </c>
      <c r="L871" s="44">
        <v>305.58</v>
      </c>
      <c r="M871" s="44">
        <v>308</v>
      </c>
      <c r="N871" s="44">
        <v>1175644</v>
      </c>
      <c r="O871" s="44" t="s">
        <v>693</v>
      </c>
      <c r="P871" s="25">
        <f t="shared" si="27"/>
        <v>8.2467532467533911E-3</v>
      </c>
    </row>
    <row r="872" spans="2:16">
      <c r="B872" s="44">
        <v>373.15175313529926</v>
      </c>
      <c r="C872" s="44">
        <v>374.38622844458536</v>
      </c>
      <c r="D872" s="44">
        <v>371.72287226549571</v>
      </c>
      <c r="E872" s="44">
        <v>373.56000481238601</v>
      </c>
      <c r="F872" s="44">
        <v>4326365.9627900664</v>
      </c>
      <c r="G872" s="44" t="s">
        <v>694</v>
      </c>
      <c r="H872" s="25">
        <f t="shared" si="28"/>
        <v>-1.0928677369832496E-3</v>
      </c>
      <c r="J872" s="44">
        <v>307.83999999999997</v>
      </c>
      <c r="K872" s="44">
        <v>308.26</v>
      </c>
      <c r="L872" s="44">
        <v>300.14</v>
      </c>
      <c r="M872" s="44">
        <v>307</v>
      </c>
      <c r="N872" s="44">
        <v>2454744</v>
      </c>
      <c r="O872" s="44" t="s">
        <v>694</v>
      </c>
      <c r="P872" s="25">
        <f t="shared" si="27"/>
        <v>2.7361563517913634E-3</v>
      </c>
    </row>
    <row r="873" spans="2:16">
      <c r="B873" s="44">
        <v>375.19301152073291</v>
      </c>
      <c r="C873" s="44">
        <v>377.39951463260644</v>
      </c>
      <c r="D873" s="44">
        <v>373.99741732355034</v>
      </c>
      <c r="E873" s="44">
        <v>376.91350073131269</v>
      </c>
      <c r="F873" s="44">
        <v>4082651.7404505406</v>
      </c>
      <c r="G873" s="44" t="s">
        <v>695</v>
      </c>
      <c r="H873" s="25">
        <f t="shared" si="28"/>
        <v>-4.5646791829997424E-3</v>
      </c>
      <c r="J873" s="44">
        <v>307.07</v>
      </c>
      <c r="K873" s="44">
        <v>313.13</v>
      </c>
      <c r="L873" s="44">
        <v>305.97000000000003</v>
      </c>
      <c r="M873" s="44">
        <v>308.88</v>
      </c>
      <c r="N873" s="44">
        <v>1804713</v>
      </c>
      <c r="O873" s="44" t="s">
        <v>695</v>
      </c>
      <c r="P873" s="25">
        <f t="shared" si="27"/>
        <v>-5.8598808598808727E-3</v>
      </c>
    </row>
    <row r="874" spans="2:16">
      <c r="B874" s="44">
        <v>375.07636818442245</v>
      </c>
      <c r="C874" s="44">
        <v>375.75678764623365</v>
      </c>
      <c r="D874" s="44">
        <v>370.86262766020582</v>
      </c>
      <c r="E874" s="44">
        <v>370.96469057947746</v>
      </c>
      <c r="F874" s="44">
        <v>3130354.9053847413</v>
      </c>
      <c r="G874" s="44" t="s">
        <v>696</v>
      </c>
      <c r="H874" s="25">
        <f t="shared" si="28"/>
        <v>1.1083743842364546E-2</v>
      </c>
      <c r="J874" s="44">
        <v>306.89999999999998</v>
      </c>
      <c r="K874" s="44">
        <v>307.85500000000002</v>
      </c>
      <c r="L874" s="44">
        <v>302.76</v>
      </c>
      <c r="M874" s="44">
        <v>302.76</v>
      </c>
      <c r="N874" s="44">
        <v>1440697</v>
      </c>
      <c r="O874" s="44" t="s">
        <v>696</v>
      </c>
      <c r="P874" s="25">
        <f t="shared" si="27"/>
        <v>1.3674197384066611E-2</v>
      </c>
    </row>
    <row r="875" spans="2:16">
      <c r="B875" s="44">
        <v>370.26483056161453</v>
      </c>
      <c r="C875" s="44">
        <v>371.5867883731334</v>
      </c>
      <c r="D875" s="44">
        <v>368.32077495643961</v>
      </c>
      <c r="E875" s="44">
        <v>370.33287250779563</v>
      </c>
      <c r="F875" s="44">
        <v>3411293.3716231384</v>
      </c>
      <c r="G875" s="44" t="s">
        <v>697</v>
      </c>
      <c r="H875" s="25">
        <f t="shared" si="28"/>
        <v>-1.8373185647913015E-4</v>
      </c>
      <c r="J875" s="44">
        <v>303.77</v>
      </c>
      <c r="K875" s="44">
        <v>305.24</v>
      </c>
      <c r="L875" s="44">
        <v>297.38</v>
      </c>
      <c r="M875" s="44">
        <v>299.95</v>
      </c>
      <c r="N875" s="44">
        <v>1673136</v>
      </c>
      <c r="O875" s="44" t="s">
        <v>697</v>
      </c>
      <c r="P875" s="25">
        <f t="shared" si="27"/>
        <v>1.2735455909318238E-2</v>
      </c>
    </row>
    <row r="876" spans="2:16">
      <c r="B876" s="44">
        <v>367.06685909110178</v>
      </c>
      <c r="C876" s="44">
        <v>368.64154413129347</v>
      </c>
      <c r="D876" s="44">
        <v>366.03650962035908</v>
      </c>
      <c r="E876" s="44">
        <v>368.31105467841377</v>
      </c>
      <c r="F876" s="44">
        <v>3715523.3527129977</v>
      </c>
      <c r="G876" s="44" t="s">
        <v>698</v>
      </c>
      <c r="H876" s="25">
        <f t="shared" si="28"/>
        <v>-3.378110897046871E-3</v>
      </c>
      <c r="J876" s="44">
        <v>302.48</v>
      </c>
      <c r="K876" s="44">
        <v>303.64999999999998</v>
      </c>
      <c r="L876" s="44">
        <v>299.2</v>
      </c>
      <c r="M876" s="44">
        <v>300.01</v>
      </c>
      <c r="N876" s="44">
        <v>1192557</v>
      </c>
      <c r="O876" s="44" t="s">
        <v>698</v>
      </c>
      <c r="P876" s="25">
        <f t="shared" ref="P876:P939" si="29">J876/M876-1</f>
        <v>8.2330588980368269E-3</v>
      </c>
    </row>
    <row r="877" spans="2:16">
      <c r="B877" s="44">
        <v>369.83713832847604</v>
      </c>
      <c r="C877" s="44">
        <v>373.3655992518685</v>
      </c>
      <c r="D877" s="44">
        <v>369.44832720744103</v>
      </c>
      <c r="E877" s="44">
        <v>372.47133367348806</v>
      </c>
      <c r="F877" s="44">
        <v>2970351.2515941835</v>
      </c>
      <c r="G877" s="44" t="s">
        <v>699</v>
      </c>
      <c r="H877" s="25">
        <f t="shared" si="28"/>
        <v>-7.0722096088102759E-3</v>
      </c>
      <c r="J877" s="44">
        <v>301.44</v>
      </c>
      <c r="K877" s="44">
        <v>311.91750000000002</v>
      </c>
      <c r="L877" s="44">
        <v>297.8297</v>
      </c>
      <c r="M877" s="44">
        <v>311.23</v>
      </c>
      <c r="N877" s="44">
        <v>1631283</v>
      </c>
      <c r="O877" s="44" t="s">
        <v>699</v>
      </c>
      <c r="P877" s="25">
        <f t="shared" si="29"/>
        <v>-3.145583651961581E-2</v>
      </c>
    </row>
    <row r="878" spans="2:16">
      <c r="B878" s="44">
        <v>374.01685787960207</v>
      </c>
      <c r="C878" s="44">
        <v>375.42629819335394</v>
      </c>
      <c r="D878" s="44">
        <v>372.74350145821256</v>
      </c>
      <c r="E878" s="44">
        <v>373.90021454329161</v>
      </c>
      <c r="F878" s="44">
        <v>2864127.9525021706</v>
      </c>
      <c r="G878" s="44" t="s">
        <v>700</v>
      </c>
      <c r="H878" s="25">
        <f t="shared" si="28"/>
        <v>3.1196381219777969E-4</v>
      </c>
      <c r="J878" s="44">
        <v>313.62</v>
      </c>
      <c r="K878" s="44">
        <v>317.81</v>
      </c>
      <c r="L878" s="44">
        <v>312.57</v>
      </c>
      <c r="M878" s="44">
        <v>312.83</v>
      </c>
      <c r="N878" s="44">
        <v>1046172</v>
      </c>
      <c r="O878" s="44" t="s">
        <v>700</v>
      </c>
      <c r="P878" s="25">
        <f t="shared" si="29"/>
        <v>2.5253332480901225E-3</v>
      </c>
    </row>
    <row r="879" spans="2:16">
      <c r="B879" s="44">
        <v>373.81273204105872</v>
      </c>
      <c r="C879" s="44">
        <v>375.72762681215602</v>
      </c>
      <c r="D879" s="44">
        <v>372.71434062413488</v>
      </c>
      <c r="E879" s="44">
        <v>375.22217235481054</v>
      </c>
      <c r="F879" s="44">
        <v>3754052.0860478966</v>
      </c>
      <c r="G879" s="44" t="s">
        <v>701</v>
      </c>
      <c r="H879" s="25">
        <f t="shared" si="28"/>
        <v>-3.7562820579244427E-3</v>
      </c>
      <c r="J879" s="44">
        <v>313.61</v>
      </c>
      <c r="K879" s="44">
        <v>315.19499999999999</v>
      </c>
      <c r="L879" s="44">
        <v>311.42</v>
      </c>
      <c r="M879" s="44">
        <v>313</v>
      </c>
      <c r="N879" s="44">
        <v>1371008</v>
      </c>
      <c r="O879" s="44" t="s">
        <v>701</v>
      </c>
      <c r="P879" s="25">
        <f t="shared" si="29"/>
        <v>1.9488817891373245E-3</v>
      </c>
    </row>
    <row r="880" spans="2:16">
      <c r="B880" s="44">
        <v>374.40566900063709</v>
      </c>
      <c r="C880" s="44">
        <v>374.78475984364616</v>
      </c>
      <c r="D880" s="44">
        <v>370.34259278582152</v>
      </c>
      <c r="E880" s="44">
        <v>370.59532001449423</v>
      </c>
      <c r="F880" s="44">
        <v>3436753.5487231379</v>
      </c>
      <c r="G880" s="44" t="s">
        <v>702</v>
      </c>
      <c r="H880" s="25">
        <f t="shared" si="28"/>
        <v>1.0281697529245237E-2</v>
      </c>
      <c r="J880" s="44">
        <v>312.23</v>
      </c>
      <c r="K880" s="44">
        <v>312.64999999999998</v>
      </c>
      <c r="L880" s="44">
        <v>307.0401</v>
      </c>
      <c r="M880" s="44">
        <v>307.87</v>
      </c>
      <c r="N880" s="44">
        <v>1391837</v>
      </c>
      <c r="O880" s="44" t="s">
        <v>702</v>
      </c>
      <c r="P880" s="25">
        <f t="shared" si="29"/>
        <v>1.4161821548056119E-2</v>
      </c>
    </row>
    <row r="881" spans="2:16">
      <c r="B881" s="44">
        <v>370.78000529698585</v>
      </c>
      <c r="C881" s="44">
        <v>371.40210309064179</v>
      </c>
      <c r="D881" s="44">
        <v>366.72664936019612</v>
      </c>
      <c r="E881" s="44">
        <v>368.25273301025851</v>
      </c>
      <c r="F881" s="44">
        <v>3315383.5635375697</v>
      </c>
      <c r="G881" s="44" t="s">
        <v>703</v>
      </c>
      <c r="H881" s="25">
        <f t="shared" si="28"/>
        <v>6.8628744885836923E-3</v>
      </c>
      <c r="J881" s="44">
        <v>308.22000000000003</v>
      </c>
      <c r="K881" s="44">
        <v>308.77999999999997</v>
      </c>
      <c r="L881" s="44">
        <v>303.95999999999998</v>
      </c>
      <c r="M881" s="44">
        <v>307.51</v>
      </c>
      <c r="N881" s="44">
        <v>1261772</v>
      </c>
      <c r="O881" s="44" t="s">
        <v>703</v>
      </c>
      <c r="P881" s="25">
        <f t="shared" si="29"/>
        <v>2.3088680042926413E-3</v>
      </c>
    </row>
    <row r="882" spans="2:16">
      <c r="B882" s="44">
        <v>366.40588018534231</v>
      </c>
      <c r="C882" s="44">
        <v>368.67070496537104</v>
      </c>
      <c r="D882" s="44">
        <v>366.36699907323884</v>
      </c>
      <c r="E882" s="44">
        <v>367.80560022106823</v>
      </c>
      <c r="F882" s="44">
        <v>2343159.3149261507</v>
      </c>
      <c r="G882" s="44" t="s">
        <v>704</v>
      </c>
      <c r="H882" s="25">
        <f t="shared" si="28"/>
        <v>-3.8055973995083647E-3</v>
      </c>
      <c r="J882" s="44">
        <v>306.61</v>
      </c>
      <c r="K882" s="44">
        <v>308.36</v>
      </c>
      <c r="L882" s="44">
        <v>306.10000000000002</v>
      </c>
      <c r="M882" s="44">
        <v>306.67</v>
      </c>
      <c r="N882" s="44">
        <v>811989</v>
      </c>
      <c r="O882" s="44" t="s">
        <v>704</v>
      </c>
      <c r="P882" s="25">
        <f t="shared" si="29"/>
        <v>-1.9565004728205881E-4</v>
      </c>
    </row>
    <row r="883" spans="2:16">
      <c r="B883" s="44">
        <v>368.84566996983682</v>
      </c>
      <c r="C883" s="44">
        <v>369.21504053482005</v>
      </c>
      <c r="D883" s="44">
        <v>366.36699907323884</v>
      </c>
      <c r="E883" s="44">
        <v>368.14580995197389</v>
      </c>
      <c r="F883" s="44">
        <v>3994290.0703713847</v>
      </c>
      <c r="G883" s="44" t="s">
        <v>705</v>
      </c>
      <c r="H883" s="25">
        <f t="shared" si="28"/>
        <v>1.9010402914927393E-3</v>
      </c>
      <c r="J883" s="44">
        <v>308.05</v>
      </c>
      <c r="K883" s="44">
        <v>308.27999999999997</v>
      </c>
      <c r="L883" s="44">
        <v>304.8519</v>
      </c>
      <c r="M883" s="44">
        <v>305.01</v>
      </c>
      <c r="N883" s="44">
        <v>1308705</v>
      </c>
      <c r="O883" s="44" t="s">
        <v>705</v>
      </c>
      <c r="P883" s="25">
        <f t="shared" si="29"/>
        <v>9.9668863315958145E-3</v>
      </c>
    </row>
    <row r="884" spans="2:16">
      <c r="B884" s="44">
        <v>367.57231354844726</v>
      </c>
      <c r="C884" s="44">
        <v>369.38028526125993</v>
      </c>
      <c r="D884" s="44">
        <v>365.32206918545728</v>
      </c>
      <c r="E884" s="44">
        <v>369.22476081284594</v>
      </c>
      <c r="F884" s="44">
        <v>2603850.4179228684</v>
      </c>
      <c r="G884" s="44" t="s">
        <v>706</v>
      </c>
      <c r="H884" s="25">
        <f t="shared" si="28"/>
        <v>-4.4754508358563205E-3</v>
      </c>
      <c r="J884" s="44">
        <v>305.27</v>
      </c>
      <c r="K884" s="44">
        <v>305.95</v>
      </c>
      <c r="L884" s="44">
        <v>303.08999999999997</v>
      </c>
      <c r="M884" s="44">
        <v>304.27999999999997</v>
      </c>
      <c r="N884" s="44">
        <v>950388</v>
      </c>
      <c r="O884" s="44" t="s">
        <v>706</v>
      </c>
      <c r="P884" s="25">
        <f t="shared" si="29"/>
        <v>3.2535822268962011E-3</v>
      </c>
    </row>
    <row r="885" spans="2:16">
      <c r="B885" s="44">
        <v>368.0680477277669</v>
      </c>
      <c r="C885" s="44">
        <v>368.28189384433608</v>
      </c>
      <c r="D885" s="44">
        <v>366.13371240061781</v>
      </c>
      <c r="E885" s="44">
        <v>367.88336244527528</v>
      </c>
      <c r="F885" s="44">
        <v>2753647.5735313874</v>
      </c>
      <c r="G885" s="44" t="s">
        <v>707</v>
      </c>
      <c r="H885" s="25">
        <f t="shared" si="28"/>
        <v>5.0202129627185954E-4</v>
      </c>
      <c r="J885" s="44">
        <v>303.47000000000003</v>
      </c>
      <c r="K885" s="44">
        <v>304.19</v>
      </c>
      <c r="L885" s="44">
        <v>300.41000000000003</v>
      </c>
      <c r="M885" s="44">
        <v>302</v>
      </c>
      <c r="N885" s="44">
        <v>1305250</v>
      </c>
      <c r="O885" s="44" t="s">
        <v>707</v>
      </c>
      <c r="P885" s="25">
        <f t="shared" si="29"/>
        <v>4.8675496688743713E-3</v>
      </c>
    </row>
    <row r="886" spans="2:16">
      <c r="B886" s="44">
        <v>368.58322246313821</v>
      </c>
      <c r="C886" s="44">
        <v>370.17734805938164</v>
      </c>
      <c r="D886" s="44">
        <v>365.13252376395269</v>
      </c>
      <c r="E886" s="44">
        <v>369.64273276795853</v>
      </c>
      <c r="F886" s="44">
        <v>3614039.6299867393</v>
      </c>
      <c r="G886" s="44" t="s">
        <v>708</v>
      </c>
      <c r="H886" s="25">
        <f t="shared" si="28"/>
        <v>-2.8663090354474896E-3</v>
      </c>
      <c r="J886" s="44">
        <v>302.58999999999997</v>
      </c>
      <c r="K886" s="44">
        <v>304.04989999999998</v>
      </c>
      <c r="L886" s="44">
        <v>300.52999999999997</v>
      </c>
      <c r="M886" s="44">
        <v>303.10000000000002</v>
      </c>
      <c r="N886" s="44">
        <v>1274054</v>
      </c>
      <c r="O886" s="44" t="s">
        <v>708</v>
      </c>
      <c r="P886" s="25">
        <f t="shared" si="29"/>
        <v>-1.6826129990104022E-3</v>
      </c>
    </row>
    <row r="887" spans="2:16">
      <c r="B887" s="44">
        <v>366.97937658886894</v>
      </c>
      <c r="C887" s="44">
        <v>367.99028550355985</v>
      </c>
      <c r="D887" s="44">
        <v>366.77525075032554</v>
      </c>
      <c r="E887" s="44">
        <v>367.14462131530877</v>
      </c>
      <c r="F887" s="44">
        <v>2336403.3353312062</v>
      </c>
      <c r="G887" s="44" t="s">
        <v>709</v>
      </c>
      <c r="H887" s="25">
        <f t="shared" si="28"/>
        <v>-4.500807497814785E-4</v>
      </c>
      <c r="J887" s="44">
        <v>301.55</v>
      </c>
      <c r="K887" s="44">
        <v>303.08</v>
      </c>
      <c r="L887" s="44">
        <v>300.33</v>
      </c>
      <c r="M887" s="44">
        <v>303.08</v>
      </c>
      <c r="N887" s="44">
        <v>1122213</v>
      </c>
      <c r="O887" s="44" t="s">
        <v>709</v>
      </c>
      <c r="P887" s="25">
        <f t="shared" si="29"/>
        <v>-5.0481720997755941E-3</v>
      </c>
    </row>
    <row r="888" spans="2:16">
      <c r="B888" s="44">
        <v>368.57350218511232</v>
      </c>
      <c r="C888" s="44">
        <v>369.0011944182508</v>
      </c>
      <c r="D888" s="44">
        <v>367.30986604174865</v>
      </c>
      <c r="E888" s="44">
        <v>368.79706857970746</v>
      </c>
      <c r="F888" s="44">
        <v>3042729.8397505339</v>
      </c>
      <c r="G888" s="44" t="s">
        <v>710</v>
      </c>
      <c r="H888" s="25">
        <f t="shared" si="28"/>
        <v>-6.0620436994285321E-4</v>
      </c>
      <c r="J888" s="44">
        <v>303.08999999999997</v>
      </c>
      <c r="K888" s="44">
        <v>304.60000000000002</v>
      </c>
      <c r="L888" s="44">
        <v>301.01</v>
      </c>
      <c r="M888" s="44">
        <v>304.54000000000002</v>
      </c>
      <c r="N888" s="44">
        <v>1048955</v>
      </c>
      <c r="O888" s="44" t="s">
        <v>710</v>
      </c>
      <c r="P888" s="25">
        <f t="shared" si="29"/>
        <v>-4.7612793064951697E-3</v>
      </c>
    </row>
    <row r="889" spans="2:16">
      <c r="B889" s="44">
        <v>368.36937634656897</v>
      </c>
      <c r="C889" s="44">
        <v>369.45804748546692</v>
      </c>
      <c r="D889" s="44">
        <v>364.9283979254094</v>
      </c>
      <c r="E889" s="44">
        <v>365.22972654421147</v>
      </c>
      <c r="F889" s="44">
        <v>3229736.8363777162</v>
      </c>
      <c r="G889" s="44" t="s">
        <v>711</v>
      </c>
      <c r="H889" s="25">
        <f t="shared" si="28"/>
        <v>8.5963698302018443E-3</v>
      </c>
      <c r="J889" s="44">
        <v>304.88</v>
      </c>
      <c r="K889" s="44">
        <v>305.48</v>
      </c>
      <c r="L889" s="44">
        <v>301.26</v>
      </c>
      <c r="M889" s="44">
        <v>303.33</v>
      </c>
      <c r="N889" s="44">
        <v>1225578</v>
      </c>
      <c r="O889" s="44" t="s">
        <v>711</v>
      </c>
      <c r="P889" s="25">
        <f t="shared" si="29"/>
        <v>5.1099462631458703E-3</v>
      </c>
    </row>
    <row r="890" spans="2:16">
      <c r="B890" s="44">
        <v>361.73042645489659</v>
      </c>
      <c r="C890" s="44">
        <v>363.64532122599394</v>
      </c>
      <c r="D890" s="44">
        <v>360.54455253573997</v>
      </c>
      <c r="E890" s="44">
        <v>363.38287371929528</v>
      </c>
      <c r="F890" s="44">
        <v>4548721.7425575415</v>
      </c>
      <c r="G890" s="44" t="s">
        <v>712</v>
      </c>
      <c r="H890" s="25">
        <f t="shared" si="28"/>
        <v>-4.5473999572009927E-3</v>
      </c>
      <c r="J890" s="44">
        <v>303.20999999999998</v>
      </c>
      <c r="K890" s="44">
        <v>304.99</v>
      </c>
      <c r="L890" s="44">
        <v>300.79000000000002</v>
      </c>
      <c r="M890" s="44">
        <v>303.52999999999997</v>
      </c>
      <c r="N890" s="44">
        <v>1402161</v>
      </c>
      <c r="O890" s="44" t="s">
        <v>712</v>
      </c>
      <c r="P890" s="25">
        <f t="shared" si="29"/>
        <v>-1.0542615227490115E-3</v>
      </c>
    </row>
    <row r="891" spans="2:16">
      <c r="B891" s="44">
        <v>364.39378263398623</v>
      </c>
      <c r="C891" s="44">
        <v>369.56497054375154</v>
      </c>
      <c r="D891" s="44">
        <v>364.12161484926179</v>
      </c>
      <c r="E891" s="44">
        <v>367.33902687582628</v>
      </c>
      <c r="F891" s="44">
        <v>5671688.5929854512</v>
      </c>
      <c r="G891" s="44" t="s">
        <v>713</v>
      </c>
      <c r="H891" s="25">
        <f t="shared" si="28"/>
        <v>-8.0177820115902021E-3</v>
      </c>
      <c r="J891" s="44">
        <v>305.06</v>
      </c>
      <c r="K891" s="44">
        <v>307.76</v>
      </c>
      <c r="L891" s="44">
        <v>302.24</v>
      </c>
      <c r="M891" s="44">
        <v>302.99</v>
      </c>
      <c r="N891" s="44">
        <v>1522365</v>
      </c>
      <c r="O891" s="44" t="s">
        <v>713</v>
      </c>
      <c r="P891" s="25">
        <f t="shared" si="29"/>
        <v>6.8319086438495269E-3</v>
      </c>
    </row>
    <row r="892" spans="2:16">
      <c r="B892" s="44">
        <v>366.95021575479126</v>
      </c>
      <c r="C892" s="44">
        <v>370.44951584410614</v>
      </c>
      <c r="D892" s="44">
        <v>364.18965679544289</v>
      </c>
      <c r="E892" s="44">
        <v>370.40091445397678</v>
      </c>
      <c r="F892" s="44">
        <v>4435665.3055837518</v>
      </c>
      <c r="G892" s="44" t="s">
        <v>714</v>
      </c>
      <c r="H892" s="25">
        <f t="shared" si="28"/>
        <v>-9.3161181966096018E-3</v>
      </c>
      <c r="J892" s="44">
        <v>301.22000000000003</v>
      </c>
      <c r="K892" s="44">
        <v>302.89400000000001</v>
      </c>
      <c r="L892" s="44">
        <v>297.63</v>
      </c>
      <c r="M892" s="44">
        <v>300.70999999999998</v>
      </c>
      <c r="N892" s="44">
        <v>1688444</v>
      </c>
      <c r="O892" s="44" t="s">
        <v>714</v>
      </c>
      <c r="P892" s="25">
        <f t="shared" si="29"/>
        <v>1.695986166073693E-3</v>
      </c>
    </row>
    <row r="893" spans="2:16">
      <c r="B893" s="44">
        <v>371.11049474986561</v>
      </c>
      <c r="C893" s="44">
        <v>372.90874618465239</v>
      </c>
      <c r="D893" s="44">
        <v>370.84804724316695</v>
      </c>
      <c r="E893" s="44">
        <v>371.05217308171035</v>
      </c>
      <c r="F893" s="44">
        <v>3157622.6439509075</v>
      </c>
      <c r="G893" s="44" t="s">
        <v>715</v>
      </c>
      <c r="H893" s="25">
        <f t="shared" si="28"/>
        <v>1.5717915804369653E-4</v>
      </c>
      <c r="J893" s="44">
        <v>303.02</v>
      </c>
      <c r="K893" s="44">
        <v>308.45999999999998</v>
      </c>
      <c r="L893" s="44">
        <v>300.26</v>
      </c>
      <c r="M893" s="44">
        <v>301</v>
      </c>
      <c r="N893" s="44">
        <v>1440458</v>
      </c>
      <c r="O893" s="44" t="s">
        <v>715</v>
      </c>
      <c r="P893" s="25">
        <f t="shared" si="29"/>
        <v>6.7109634551494324E-3</v>
      </c>
    </row>
    <row r="894" spans="2:16">
      <c r="B894" s="44">
        <v>371.36322197853838</v>
      </c>
      <c r="C894" s="44">
        <v>371.43126392471947</v>
      </c>
      <c r="D894" s="44">
        <v>367.42650937805911</v>
      </c>
      <c r="E894" s="44">
        <v>367.46539049016263</v>
      </c>
      <c r="F894" s="44">
        <v>3484372.5570239169</v>
      </c>
      <c r="G894" s="44" t="s">
        <v>716</v>
      </c>
      <c r="H894" s="25">
        <f t="shared" si="28"/>
        <v>1.0607343138292258E-2</v>
      </c>
      <c r="J894" s="44">
        <v>301.22000000000003</v>
      </c>
      <c r="K894" s="44">
        <v>301.57</v>
      </c>
      <c r="L894" s="44">
        <v>296.755</v>
      </c>
      <c r="M894" s="44">
        <v>297.62</v>
      </c>
      <c r="N894" s="44">
        <v>1940778</v>
      </c>
      <c r="O894" s="44" t="s">
        <v>716</v>
      </c>
      <c r="P894" s="25">
        <f t="shared" si="29"/>
        <v>1.2095961292923896E-2</v>
      </c>
    </row>
    <row r="895" spans="2:16">
      <c r="B895" s="44">
        <v>368.21385189815499</v>
      </c>
      <c r="C895" s="44">
        <v>368.52490079498295</v>
      </c>
      <c r="D895" s="44">
        <v>363.21762899285545</v>
      </c>
      <c r="E895" s="44">
        <v>363.43147510942464</v>
      </c>
      <c r="F895" s="44">
        <v>4426187.1816294007</v>
      </c>
      <c r="G895" s="44" t="s">
        <v>717</v>
      </c>
      <c r="H895" s="25">
        <f t="shared" si="28"/>
        <v>1.315895049346083E-2</v>
      </c>
      <c r="J895" s="44">
        <v>295.92</v>
      </c>
      <c r="K895" s="44">
        <v>296.31</v>
      </c>
      <c r="L895" s="44">
        <v>290.67</v>
      </c>
      <c r="M895" s="44">
        <v>295.41000000000003</v>
      </c>
      <c r="N895" s="44">
        <v>1487111</v>
      </c>
      <c r="O895" s="44" t="s">
        <v>717</v>
      </c>
      <c r="P895" s="25">
        <f t="shared" si="29"/>
        <v>1.7264141362851593E-3</v>
      </c>
    </row>
    <row r="896" spans="2:16">
      <c r="B896" s="44">
        <v>361.05000699308539</v>
      </c>
      <c r="C896" s="44">
        <v>364.19937707346878</v>
      </c>
      <c r="D896" s="44">
        <v>360.60287420389517</v>
      </c>
      <c r="E896" s="44">
        <v>363.20790871482961</v>
      </c>
      <c r="F896" s="44">
        <v>3875296.5604202193</v>
      </c>
      <c r="G896" s="44" t="s">
        <v>718</v>
      </c>
      <c r="H896" s="25">
        <f t="shared" si="28"/>
        <v>-5.9412299951829839E-3</v>
      </c>
      <c r="J896" s="44">
        <v>294.95999999999998</v>
      </c>
      <c r="K896" s="44">
        <v>296.95</v>
      </c>
      <c r="L896" s="44">
        <v>291.02</v>
      </c>
      <c r="M896" s="44">
        <v>293.02999999999997</v>
      </c>
      <c r="N896" s="44">
        <v>1649628</v>
      </c>
      <c r="O896" s="44" t="s">
        <v>718</v>
      </c>
      <c r="P896" s="25">
        <f t="shared" si="29"/>
        <v>6.586356345766653E-3</v>
      </c>
    </row>
    <row r="897" spans="2:16">
      <c r="B897" s="44">
        <v>362.66357314538061</v>
      </c>
      <c r="C897" s="44">
        <v>367.13490103728287</v>
      </c>
      <c r="D897" s="44">
        <v>362.58581092117356</v>
      </c>
      <c r="E897" s="44">
        <v>366.62944657993745</v>
      </c>
      <c r="F897" s="44">
        <v>3904649.6302851452</v>
      </c>
      <c r="G897" s="44" t="s">
        <v>719</v>
      </c>
      <c r="H897" s="25">
        <f t="shared" si="28"/>
        <v>-1.081711649610273E-2</v>
      </c>
      <c r="J897" s="44">
        <v>294.97000000000003</v>
      </c>
      <c r="K897" s="44">
        <v>301.57</v>
      </c>
      <c r="L897" s="44">
        <v>292.91000000000003</v>
      </c>
      <c r="M897" s="44">
        <v>299.83</v>
      </c>
      <c r="N897" s="44">
        <v>2431201</v>
      </c>
      <c r="O897" s="44" t="s">
        <v>719</v>
      </c>
      <c r="P897" s="25">
        <f t="shared" si="29"/>
        <v>-1.6209185204949295E-2</v>
      </c>
    </row>
    <row r="898" spans="2:16">
      <c r="B898" s="44">
        <v>368.48601968287943</v>
      </c>
      <c r="C898" s="44">
        <v>368.85539024786272</v>
      </c>
      <c r="D898" s="44">
        <v>366.67804797006681</v>
      </c>
      <c r="E898" s="44">
        <v>367.89308272330112</v>
      </c>
      <c r="F898" s="44">
        <v>2376858.9682825711</v>
      </c>
      <c r="G898" s="44" t="s">
        <v>720</v>
      </c>
      <c r="H898" s="25">
        <f t="shared" ref="H898:H961" si="30">B898/E898-1</f>
        <v>1.6117099978860683E-3</v>
      </c>
      <c r="J898" s="44">
        <v>300.45999999999998</v>
      </c>
      <c r="K898" s="44">
        <v>303.09989999999999</v>
      </c>
      <c r="L898" s="44">
        <v>297.7269</v>
      </c>
      <c r="M898" s="44">
        <v>299.11</v>
      </c>
      <c r="N898" s="44">
        <v>2154748</v>
      </c>
      <c r="O898" s="44" t="s">
        <v>720</v>
      </c>
      <c r="P898" s="25">
        <f t="shared" si="29"/>
        <v>4.5133897228444297E-3</v>
      </c>
    </row>
    <row r="899" spans="2:16">
      <c r="B899" s="44">
        <v>368.00000578158568</v>
      </c>
      <c r="C899" s="44">
        <v>368.49573996090538</v>
      </c>
      <c r="D899" s="44">
        <v>366.2795165710059</v>
      </c>
      <c r="E899" s="44">
        <v>368.08748828381863</v>
      </c>
      <c r="F899" s="44">
        <v>2841797.3155160467</v>
      </c>
      <c r="G899" s="44" t="s">
        <v>721</v>
      </c>
      <c r="H899" s="25">
        <f t="shared" si="30"/>
        <v>-2.376676877576811E-4</v>
      </c>
      <c r="J899" s="44">
        <v>300.22000000000003</v>
      </c>
      <c r="K899" s="44">
        <v>300.88</v>
      </c>
      <c r="L899" s="44">
        <v>296.5</v>
      </c>
      <c r="M899" s="44">
        <v>297.87</v>
      </c>
      <c r="N899" s="44">
        <v>2180217</v>
      </c>
      <c r="O899" s="44" t="s">
        <v>721</v>
      </c>
      <c r="P899" s="25">
        <f t="shared" si="29"/>
        <v>7.8893477020176572E-3</v>
      </c>
    </row>
    <row r="900" spans="2:16">
      <c r="B900" s="44">
        <v>367.7861596650165</v>
      </c>
      <c r="C900" s="44">
        <v>369.43860692941519</v>
      </c>
      <c r="D900" s="44">
        <v>366.39615990731642</v>
      </c>
      <c r="E900" s="44">
        <v>367.21266326148987</v>
      </c>
      <c r="F900" s="44">
        <v>3038156.9252843349</v>
      </c>
      <c r="G900" s="44" t="s">
        <v>722</v>
      </c>
      <c r="H900" s="25">
        <f t="shared" si="30"/>
        <v>1.5617555190852173E-3</v>
      </c>
      <c r="J900" s="44">
        <v>297.41000000000003</v>
      </c>
      <c r="K900" s="44">
        <v>302.23</v>
      </c>
      <c r="L900" s="44">
        <v>296.76</v>
      </c>
      <c r="M900" s="44">
        <v>298.95999999999998</v>
      </c>
      <c r="N900" s="44">
        <v>2809140</v>
      </c>
      <c r="O900" s="44" t="s">
        <v>722</v>
      </c>
      <c r="P900" s="25">
        <f t="shared" si="29"/>
        <v>-5.1846400856300212E-3</v>
      </c>
    </row>
    <row r="901" spans="2:16">
      <c r="B901" s="44">
        <v>369.87601944057951</v>
      </c>
      <c r="C901" s="44">
        <v>370.66336196067533</v>
      </c>
      <c r="D901" s="44">
        <v>368.07776800579273</v>
      </c>
      <c r="E901" s="44">
        <v>368.13608967394799</v>
      </c>
      <c r="F901" s="44">
        <v>2748183.7380465763</v>
      </c>
      <c r="G901" s="44" t="s">
        <v>723</v>
      </c>
      <c r="H901" s="25">
        <f t="shared" si="30"/>
        <v>4.7263221820292856E-3</v>
      </c>
      <c r="J901" s="44">
        <v>298.57</v>
      </c>
      <c r="K901" s="44">
        <v>304.83999999999997</v>
      </c>
      <c r="L901" s="44">
        <v>292</v>
      </c>
      <c r="M901" s="44">
        <v>292</v>
      </c>
      <c r="N901" s="44">
        <v>6178190</v>
      </c>
      <c r="O901" s="44" t="s">
        <v>723</v>
      </c>
      <c r="P901" s="25">
        <f t="shared" si="29"/>
        <v>2.2499999999999964E-2</v>
      </c>
    </row>
    <row r="902" spans="2:16">
      <c r="B902" s="44">
        <v>369.8954599966313</v>
      </c>
      <c r="C902" s="44">
        <v>371.23199822518905</v>
      </c>
      <c r="D902" s="44">
        <v>368.63182385326758</v>
      </c>
      <c r="E902" s="44">
        <v>371.15909613999497</v>
      </c>
      <c r="F902" s="44">
        <v>3106153.9515258279</v>
      </c>
      <c r="G902" s="44" t="s">
        <v>724</v>
      </c>
      <c r="H902" s="25">
        <f t="shared" si="30"/>
        <v>-3.4045673580556102E-3</v>
      </c>
      <c r="J902" s="44">
        <v>269.27999999999997</v>
      </c>
      <c r="K902" s="44">
        <v>270.23</v>
      </c>
      <c r="L902" s="44">
        <v>266.45</v>
      </c>
      <c r="M902" s="44">
        <v>270</v>
      </c>
      <c r="N902" s="44">
        <v>2632769</v>
      </c>
      <c r="O902" s="44" t="s">
        <v>724</v>
      </c>
      <c r="P902" s="25">
        <f t="shared" si="29"/>
        <v>-2.6666666666668171E-3</v>
      </c>
    </row>
    <row r="903" spans="2:16">
      <c r="B903" s="44">
        <v>369.64273276795853</v>
      </c>
      <c r="C903" s="44">
        <v>369.681613880062</v>
      </c>
      <c r="D903" s="44">
        <v>367.11546048123114</v>
      </c>
      <c r="E903" s="44">
        <v>368.24301273223256</v>
      </c>
      <c r="F903" s="44">
        <v>2799306.7613466522</v>
      </c>
      <c r="G903" s="44" t="s">
        <v>725</v>
      </c>
      <c r="H903" s="25">
        <f t="shared" si="30"/>
        <v>3.8010769718088699E-3</v>
      </c>
      <c r="J903" s="44">
        <v>268.89</v>
      </c>
      <c r="K903" s="44">
        <v>268.94</v>
      </c>
      <c r="L903" s="44">
        <v>265.83</v>
      </c>
      <c r="M903" s="44">
        <v>266.99</v>
      </c>
      <c r="N903" s="44">
        <v>1231080</v>
      </c>
      <c r="O903" s="44" t="s">
        <v>725</v>
      </c>
      <c r="P903" s="25">
        <f t="shared" si="29"/>
        <v>7.1163713996778011E-3</v>
      </c>
    </row>
    <row r="904" spans="2:16">
      <c r="B904" s="44">
        <v>368.3888169026207</v>
      </c>
      <c r="C904" s="44">
        <v>370.66336196067533</v>
      </c>
      <c r="D904" s="44">
        <v>366.18231379074723</v>
      </c>
      <c r="E904" s="44">
        <v>368.66098468734521</v>
      </c>
      <c r="F904" s="44">
        <v>3067456.4987370577</v>
      </c>
      <c r="G904" s="44" t="s">
        <v>726</v>
      </c>
      <c r="H904" s="25">
        <f t="shared" si="30"/>
        <v>-7.3826034223645198E-4</v>
      </c>
      <c r="J904" s="44">
        <v>267.02</v>
      </c>
      <c r="K904" s="44">
        <v>268.39999999999998</v>
      </c>
      <c r="L904" s="44">
        <v>264.57</v>
      </c>
      <c r="M904" s="44">
        <v>265.54000000000002</v>
      </c>
      <c r="N904" s="44">
        <v>1319552</v>
      </c>
      <c r="O904" s="44" t="s">
        <v>726</v>
      </c>
      <c r="P904" s="25">
        <f t="shared" si="29"/>
        <v>5.5735482413195037E-3</v>
      </c>
    </row>
    <row r="905" spans="2:16">
      <c r="B905" s="44">
        <v>369.14699858863889</v>
      </c>
      <c r="C905" s="44">
        <v>369.53580970967391</v>
      </c>
      <c r="D905" s="44">
        <v>364.94278393688762</v>
      </c>
      <c r="E905" s="44">
        <v>365.39497127065135</v>
      </c>
      <c r="F905" s="44">
        <v>2758017.8188975095</v>
      </c>
      <c r="G905" s="44" t="s">
        <v>727</v>
      </c>
      <c r="H905" s="25">
        <f t="shared" si="30"/>
        <v>1.0268415312175705E-2</v>
      </c>
      <c r="J905" s="44">
        <v>266.56</v>
      </c>
      <c r="K905" s="44">
        <v>266.7</v>
      </c>
      <c r="L905" s="44">
        <v>262.87</v>
      </c>
      <c r="M905" s="44">
        <v>264</v>
      </c>
      <c r="N905" s="44">
        <v>1444552</v>
      </c>
      <c r="O905" s="44" t="s">
        <v>727</v>
      </c>
      <c r="P905" s="25">
        <f t="shared" si="29"/>
        <v>9.6969696969697594E-3</v>
      </c>
    </row>
    <row r="906" spans="2:16">
      <c r="B906" s="44">
        <v>364.42294346806392</v>
      </c>
      <c r="C906" s="44">
        <v>368.02916661566337</v>
      </c>
      <c r="D906" s="44">
        <v>363.84944706453729</v>
      </c>
      <c r="E906" s="44">
        <v>367.81532049909407</v>
      </c>
      <c r="F906" s="44">
        <v>3728466.3981346516</v>
      </c>
      <c r="G906" s="44" t="s">
        <v>728</v>
      </c>
      <c r="H906" s="25">
        <f t="shared" si="30"/>
        <v>-9.2230443974627985E-3</v>
      </c>
      <c r="J906" s="44">
        <v>261.77</v>
      </c>
      <c r="K906" s="44">
        <v>265.89499999999998</v>
      </c>
      <c r="L906" s="44">
        <v>261.42</v>
      </c>
      <c r="M906" s="44">
        <v>265</v>
      </c>
      <c r="N906" s="44">
        <v>1154340</v>
      </c>
      <c r="O906" s="44" t="s">
        <v>728</v>
      </c>
      <c r="P906" s="25">
        <f t="shared" si="29"/>
        <v>-1.2188679245283107E-2</v>
      </c>
    </row>
    <row r="907" spans="2:16">
      <c r="B907" s="44">
        <v>365.8809851719451</v>
      </c>
      <c r="C907" s="44">
        <v>367.19322270543813</v>
      </c>
      <c r="D907" s="44">
        <v>365.18112515408211</v>
      </c>
      <c r="E907" s="44">
        <v>366.35727879521289</v>
      </c>
      <c r="F907" s="44">
        <v>3157318.1259122137</v>
      </c>
      <c r="G907" s="44" t="s">
        <v>729</v>
      </c>
      <c r="H907" s="25">
        <f t="shared" si="30"/>
        <v>-1.3000795967098577E-3</v>
      </c>
      <c r="J907" s="44">
        <v>262.77</v>
      </c>
      <c r="K907" s="44">
        <v>263.62</v>
      </c>
      <c r="L907" s="44">
        <v>259.16500000000002</v>
      </c>
      <c r="M907" s="44">
        <v>259.60000000000002</v>
      </c>
      <c r="N907" s="44">
        <v>1620683</v>
      </c>
      <c r="O907" s="44" t="s">
        <v>729</v>
      </c>
      <c r="P907" s="25">
        <f t="shared" si="29"/>
        <v>1.2211093990754929E-2</v>
      </c>
    </row>
    <row r="908" spans="2:16">
      <c r="B908" s="44">
        <v>365.83238378181574</v>
      </c>
      <c r="C908" s="44">
        <v>365.86154461589331</v>
      </c>
      <c r="D908" s="44">
        <v>362.5274892530183</v>
      </c>
      <c r="E908" s="44">
        <v>363.10098565654494</v>
      </c>
      <c r="F908" s="44">
        <v>2747984.155277973</v>
      </c>
      <c r="G908" s="44" t="s">
        <v>730</v>
      </c>
      <c r="H908" s="25">
        <f t="shared" si="30"/>
        <v>7.5224200240933126E-3</v>
      </c>
      <c r="J908" s="44">
        <v>258.94</v>
      </c>
      <c r="K908" s="44">
        <v>259.11</v>
      </c>
      <c r="L908" s="44">
        <v>252.04</v>
      </c>
      <c r="M908" s="44">
        <v>255.6</v>
      </c>
      <c r="N908" s="44">
        <v>1160895</v>
      </c>
      <c r="O908" s="44" t="s">
        <v>730</v>
      </c>
      <c r="P908" s="25">
        <f t="shared" si="29"/>
        <v>1.3067292644757478E-2</v>
      </c>
    </row>
    <row r="909" spans="2:16">
      <c r="B909" s="44">
        <v>365.43385238275482</v>
      </c>
      <c r="C909" s="44">
        <v>365.66227891636288</v>
      </c>
      <c r="D909" s="44">
        <v>362.29420258039738</v>
      </c>
      <c r="E909" s="44">
        <v>363.21762899285545</v>
      </c>
      <c r="F909" s="44">
        <v>3164747.9545454849</v>
      </c>
      <c r="G909" s="44" t="s">
        <v>731</v>
      </c>
      <c r="H909" s="25">
        <f t="shared" si="30"/>
        <v>6.1016404849196793E-3</v>
      </c>
      <c r="J909" s="44">
        <v>256.89999999999998</v>
      </c>
      <c r="K909" s="44">
        <v>259.33</v>
      </c>
      <c r="L909" s="44">
        <v>255.24</v>
      </c>
      <c r="M909" s="44">
        <v>258.33</v>
      </c>
      <c r="N909" s="44">
        <v>1026602</v>
      </c>
      <c r="O909" s="44" t="s">
        <v>731</v>
      </c>
      <c r="P909" s="25">
        <f t="shared" si="29"/>
        <v>-5.5355552974877265E-3</v>
      </c>
    </row>
    <row r="910" spans="2:16">
      <c r="B910" s="44">
        <v>364.04385262505474</v>
      </c>
      <c r="C910" s="44">
        <v>364.9186776473835</v>
      </c>
      <c r="D910" s="44">
        <v>362.45944730683721</v>
      </c>
      <c r="E910" s="44">
        <v>364.22853790754635</v>
      </c>
      <c r="F910" s="44">
        <v>3320620.0392705179</v>
      </c>
      <c r="G910" s="44" t="s">
        <v>732</v>
      </c>
      <c r="H910" s="25">
        <f t="shared" si="30"/>
        <v>-5.0705879213253091E-4</v>
      </c>
      <c r="J910" s="44">
        <v>257.99</v>
      </c>
      <c r="K910" s="44">
        <v>258.89</v>
      </c>
      <c r="L910" s="44">
        <v>253.745</v>
      </c>
      <c r="M910" s="44">
        <v>254.23</v>
      </c>
      <c r="N910" s="44">
        <v>1366398</v>
      </c>
      <c r="O910" s="44" t="s">
        <v>732</v>
      </c>
      <c r="P910" s="25">
        <f t="shared" si="29"/>
        <v>1.4789757306376217E-2</v>
      </c>
    </row>
    <row r="911" spans="2:16">
      <c r="B911" s="44">
        <v>364.9283979254094</v>
      </c>
      <c r="C911" s="44">
        <v>367.81532049909407</v>
      </c>
      <c r="D911" s="44">
        <v>363.66476178204567</v>
      </c>
      <c r="E911" s="44">
        <v>367.61119466055072</v>
      </c>
      <c r="F911" s="44">
        <v>2791358.4290258749</v>
      </c>
      <c r="G911" s="44" t="s">
        <v>733</v>
      </c>
      <c r="H911" s="25">
        <f t="shared" si="30"/>
        <v>-7.2979190354053314E-3</v>
      </c>
      <c r="J911" s="44">
        <v>254.71</v>
      </c>
      <c r="K911" s="44">
        <v>256.23</v>
      </c>
      <c r="L911" s="44">
        <v>253.11</v>
      </c>
      <c r="M911" s="44">
        <v>253.58</v>
      </c>
      <c r="N911" s="44">
        <v>1354779</v>
      </c>
      <c r="O911" s="44" t="s">
        <v>733</v>
      </c>
      <c r="P911" s="25">
        <f t="shared" si="29"/>
        <v>4.4561873964823473E-3</v>
      </c>
    </row>
    <row r="912" spans="2:16">
      <c r="B912" s="44">
        <v>366.99881714492068</v>
      </c>
      <c r="C912" s="44">
        <v>367.33902687582628</v>
      </c>
      <c r="D912" s="44">
        <v>364.72427208686605</v>
      </c>
      <c r="E912" s="44">
        <v>365.09364265184928</v>
      </c>
      <c r="F912" s="44">
        <v>3626743.9991077953</v>
      </c>
      <c r="G912" s="44" t="s">
        <v>734</v>
      </c>
      <c r="H912" s="25">
        <f t="shared" si="30"/>
        <v>5.2183173588924436E-3</v>
      </c>
      <c r="J912" s="44">
        <v>253.53</v>
      </c>
      <c r="K912" s="44">
        <v>254.435</v>
      </c>
      <c r="L912" s="44">
        <v>250.01</v>
      </c>
      <c r="M912" s="44">
        <v>254.3</v>
      </c>
      <c r="N912" s="44">
        <v>1554762</v>
      </c>
      <c r="O912" s="44" t="s">
        <v>734</v>
      </c>
      <c r="P912" s="25">
        <f t="shared" si="29"/>
        <v>-3.0279197797876689E-3</v>
      </c>
    </row>
    <row r="913" spans="2:16">
      <c r="B913" s="44">
        <v>365.55049571906534</v>
      </c>
      <c r="C913" s="44">
        <v>365.81294322576395</v>
      </c>
      <c r="D913" s="44">
        <v>361.25413283162874</v>
      </c>
      <c r="E913" s="44">
        <v>361.38049644596509</v>
      </c>
      <c r="F913" s="44">
        <v>4279552.4870038051</v>
      </c>
      <c r="G913" s="44" t="s">
        <v>735</v>
      </c>
      <c r="H913" s="25">
        <f t="shared" si="30"/>
        <v>1.1539082252945532E-2</v>
      </c>
      <c r="J913" s="44">
        <v>255.47</v>
      </c>
      <c r="K913" s="44">
        <v>256.74</v>
      </c>
      <c r="L913" s="44">
        <v>252.0701</v>
      </c>
      <c r="M913" s="44">
        <v>253.22</v>
      </c>
      <c r="N913" s="44">
        <v>1575223</v>
      </c>
      <c r="O913" s="44" t="s">
        <v>735</v>
      </c>
      <c r="P913" s="25">
        <f t="shared" si="29"/>
        <v>8.8855540636600949E-3</v>
      </c>
    </row>
    <row r="914" spans="2:16">
      <c r="B914" s="44">
        <v>360.51539170166228</v>
      </c>
      <c r="C914" s="44">
        <v>361.08888810518891</v>
      </c>
      <c r="D914" s="44">
        <v>358.77740599063588</v>
      </c>
      <c r="E914" s="44">
        <v>360.84588115454204</v>
      </c>
      <c r="F914" s="44">
        <v>3412188.4077503812</v>
      </c>
      <c r="G914" s="44" t="s">
        <v>736</v>
      </c>
      <c r="H914" s="25">
        <f t="shared" si="30"/>
        <v>-9.1587425585226701E-4</v>
      </c>
      <c r="J914" s="44">
        <v>251.3</v>
      </c>
      <c r="K914" s="44">
        <v>254.2</v>
      </c>
      <c r="L914" s="44">
        <v>248.29</v>
      </c>
      <c r="M914" s="44">
        <v>254.05</v>
      </c>
      <c r="N914" s="44">
        <v>1908912</v>
      </c>
      <c r="O914" s="44" t="s">
        <v>736</v>
      </c>
      <c r="P914" s="25">
        <f t="shared" si="29"/>
        <v>-1.0824640818736464E-2</v>
      </c>
    </row>
    <row r="915" spans="2:16">
      <c r="B915" s="44">
        <v>358.3769305359699</v>
      </c>
      <c r="C915" s="44">
        <v>358.61993748661678</v>
      </c>
      <c r="D915" s="44">
        <v>356.04406380976002</v>
      </c>
      <c r="E915" s="44">
        <v>357.12301467063207</v>
      </c>
      <c r="F915" s="44">
        <v>3740704.7312032469</v>
      </c>
      <c r="G915" s="44" t="s">
        <v>737</v>
      </c>
      <c r="H915" s="25">
        <f t="shared" si="30"/>
        <v>3.5111594991834583E-3</v>
      </c>
      <c r="J915" s="44">
        <v>250.76</v>
      </c>
      <c r="K915" s="44">
        <v>251.54499999999999</v>
      </c>
      <c r="L915" s="44">
        <v>246.63</v>
      </c>
      <c r="M915" s="44">
        <v>250</v>
      </c>
      <c r="N915" s="44">
        <v>1538323</v>
      </c>
      <c r="O915" s="44" t="s">
        <v>737</v>
      </c>
      <c r="P915" s="25">
        <f t="shared" si="29"/>
        <v>3.0399999999999316E-3</v>
      </c>
    </row>
    <row r="916" spans="2:16">
      <c r="B916" s="44">
        <v>353.35154679659274</v>
      </c>
      <c r="C916" s="44">
        <v>354.01252570235221</v>
      </c>
      <c r="D916" s="44">
        <v>351.56495969543698</v>
      </c>
      <c r="E916" s="44">
        <v>353.37098735264453</v>
      </c>
      <c r="F916" s="44">
        <v>2483111.0731350011</v>
      </c>
      <c r="G916" s="44" t="s">
        <v>738</v>
      </c>
      <c r="H916" s="25">
        <f t="shared" si="30"/>
        <v>-5.5014578863477048E-5</v>
      </c>
      <c r="J916" s="44">
        <v>249.49</v>
      </c>
      <c r="K916" s="44">
        <v>253.37</v>
      </c>
      <c r="L916" s="44">
        <v>248.5</v>
      </c>
      <c r="M916" s="44">
        <v>253</v>
      </c>
      <c r="N916" s="44">
        <v>1179536</v>
      </c>
      <c r="O916" s="44" t="s">
        <v>738</v>
      </c>
      <c r="P916" s="25">
        <f t="shared" si="29"/>
        <v>-1.3873517786561207E-2</v>
      </c>
    </row>
    <row r="917" spans="2:16">
      <c r="B917" s="44">
        <v>353.97364459024874</v>
      </c>
      <c r="C917" s="44">
        <v>356.18014770212227</v>
      </c>
      <c r="D917" s="44">
        <v>353.23490346028223</v>
      </c>
      <c r="E917" s="44">
        <v>355.4948681012981</v>
      </c>
      <c r="F917" s="44">
        <v>4264070.4195568245</v>
      </c>
      <c r="G917" s="44" t="s">
        <v>739</v>
      </c>
      <c r="H917" s="25">
        <f t="shared" si="30"/>
        <v>-4.279171508647206E-3</v>
      </c>
      <c r="J917" s="44">
        <v>252.57</v>
      </c>
      <c r="K917" s="44">
        <v>259.02499999999998</v>
      </c>
      <c r="L917" s="44">
        <v>251.88759999999999</v>
      </c>
      <c r="M917" s="44">
        <v>257.51</v>
      </c>
      <c r="N917" s="44">
        <v>1682686</v>
      </c>
      <c r="O917" s="44" t="s">
        <v>739</v>
      </c>
      <c r="P917" s="25">
        <f t="shared" si="29"/>
        <v>-1.9183721020542888E-2</v>
      </c>
    </row>
    <row r="918" spans="2:16">
      <c r="B918" s="44">
        <v>353.39042790869627</v>
      </c>
      <c r="C918" s="44">
        <v>353.45846985487736</v>
      </c>
      <c r="D918" s="44">
        <v>347.71378554158554</v>
      </c>
      <c r="E918" s="44">
        <v>349.91056837543317</v>
      </c>
      <c r="F918" s="44">
        <v>3848594.6492908155</v>
      </c>
      <c r="G918" s="44" t="s">
        <v>740</v>
      </c>
      <c r="H918" s="25">
        <f t="shared" si="30"/>
        <v>9.9449969442746422E-3</v>
      </c>
      <c r="J918" s="44">
        <v>256.42</v>
      </c>
      <c r="K918" s="44">
        <v>257.45999999999998</v>
      </c>
      <c r="L918" s="44">
        <v>248</v>
      </c>
      <c r="M918" s="44">
        <v>248</v>
      </c>
      <c r="N918" s="44">
        <v>3269871</v>
      </c>
      <c r="O918" s="44" t="s">
        <v>740</v>
      </c>
      <c r="P918" s="25">
        <f t="shared" si="29"/>
        <v>3.3951612903225792E-2</v>
      </c>
    </row>
    <row r="919" spans="2:16">
      <c r="B919" s="44">
        <v>351.0503681767471</v>
      </c>
      <c r="C919" s="44">
        <v>356.51592735037912</v>
      </c>
      <c r="D919" s="44">
        <v>348.61090499616745</v>
      </c>
      <c r="E919" s="44">
        <v>352.83156351494813</v>
      </c>
      <c r="F919" s="44">
        <v>4945238.139291577</v>
      </c>
      <c r="G919" s="44" t="s">
        <v>741</v>
      </c>
      <c r="H919" s="25">
        <f t="shared" si="30"/>
        <v>-5.0482879719052631E-3</v>
      </c>
      <c r="J919" s="44">
        <v>244.47</v>
      </c>
      <c r="K919" s="44">
        <v>247.31</v>
      </c>
      <c r="L919" s="44">
        <v>242.29</v>
      </c>
      <c r="M919" s="44">
        <v>244.12</v>
      </c>
      <c r="N919" s="44">
        <v>1735061</v>
      </c>
      <c r="O919" s="44" t="s">
        <v>741</v>
      </c>
      <c r="P919" s="25">
        <f t="shared" si="29"/>
        <v>1.4337211207602341E-3</v>
      </c>
    </row>
    <row r="920" spans="2:16">
      <c r="B920" s="44">
        <v>350.21785296432705</v>
      </c>
      <c r="C920" s="44">
        <v>359.3551914411093</v>
      </c>
      <c r="D920" s="44">
        <v>350.10168805096617</v>
      </c>
      <c r="E920" s="44">
        <v>356.02609863237382</v>
      </c>
      <c r="F920" s="44">
        <v>4230027.6889393684</v>
      </c>
      <c r="G920" s="44" t="s">
        <v>742</v>
      </c>
      <c r="H920" s="25">
        <f t="shared" si="30"/>
        <v>-1.631410082114304E-2</v>
      </c>
      <c r="J920" s="44">
        <v>240.81</v>
      </c>
      <c r="K920" s="44">
        <v>248.28</v>
      </c>
      <c r="L920" s="44">
        <v>240.54</v>
      </c>
      <c r="M920" s="44">
        <v>245.44</v>
      </c>
      <c r="N920" s="44">
        <v>1151808</v>
      </c>
      <c r="O920" s="44" t="s">
        <v>742</v>
      </c>
      <c r="P920" s="25">
        <f t="shared" si="29"/>
        <v>-1.8864080834419816E-2</v>
      </c>
    </row>
    <row r="921" spans="2:16">
      <c r="B921" s="44">
        <v>356.12290272684129</v>
      </c>
      <c r="C921" s="44">
        <v>356.63596442751879</v>
      </c>
      <c r="D921" s="44">
        <v>353.21877989281791</v>
      </c>
      <c r="E921" s="44">
        <v>354.70956294761658</v>
      </c>
      <c r="F921" s="44">
        <v>4253569.048553722</v>
      </c>
      <c r="G921" s="44" t="s">
        <v>743</v>
      </c>
      <c r="H921" s="25">
        <f t="shared" si="30"/>
        <v>3.9844986627366463E-3</v>
      </c>
      <c r="J921" s="44">
        <v>246.68</v>
      </c>
      <c r="K921" s="44">
        <v>247.37</v>
      </c>
      <c r="L921" s="44">
        <v>242.11500000000001</v>
      </c>
      <c r="M921" s="44">
        <v>242.45</v>
      </c>
      <c r="N921" s="44">
        <v>1560298</v>
      </c>
      <c r="O921" s="44" t="s">
        <v>743</v>
      </c>
      <c r="P921" s="25">
        <f t="shared" si="29"/>
        <v>1.7446896267271583E-2</v>
      </c>
    </row>
    <row r="922" spans="2:16">
      <c r="B922" s="44">
        <v>351.52470823963756</v>
      </c>
      <c r="C922" s="44">
        <v>351.9603266647411</v>
      </c>
      <c r="D922" s="44">
        <v>348.32049271276509</v>
      </c>
      <c r="E922" s="44">
        <v>348.94971932680352</v>
      </c>
      <c r="F922" s="44">
        <v>3202088.7309083808</v>
      </c>
      <c r="G922" s="44" t="s">
        <v>744</v>
      </c>
      <c r="H922" s="25">
        <f t="shared" si="30"/>
        <v>7.3792548617082065E-3</v>
      </c>
      <c r="J922" s="44">
        <v>240.5</v>
      </c>
      <c r="K922" s="44">
        <v>242.03</v>
      </c>
      <c r="L922" s="44">
        <v>237.58</v>
      </c>
      <c r="M922" s="44">
        <v>238.12</v>
      </c>
      <c r="N922" s="44">
        <v>995530</v>
      </c>
      <c r="O922" s="44" t="s">
        <v>744</v>
      </c>
      <c r="P922" s="25">
        <f t="shared" si="29"/>
        <v>9.9949605241054229E-3</v>
      </c>
    </row>
    <row r="923" spans="2:16">
      <c r="B923" s="44">
        <v>348.37857516944558</v>
      </c>
      <c r="C923" s="44">
        <v>352.16361526312278</v>
      </c>
      <c r="D923" s="44">
        <v>346.96533219431535</v>
      </c>
      <c r="E923" s="44">
        <v>351.16653309010803</v>
      </c>
      <c r="F923" s="44">
        <v>5361247.4023454525</v>
      </c>
      <c r="G923" s="44" t="s">
        <v>745</v>
      </c>
      <c r="H923" s="25">
        <f t="shared" si="30"/>
        <v>-7.9391333112801554E-3</v>
      </c>
      <c r="J923" s="44">
        <v>237.8</v>
      </c>
      <c r="K923" s="44">
        <v>242</v>
      </c>
      <c r="L923" s="44">
        <v>236.26</v>
      </c>
      <c r="M923" s="44">
        <v>240.39</v>
      </c>
      <c r="N923" s="44">
        <v>2304603</v>
      </c>
      <c r="O923" s="44" t="s">
        <v>745</v>
      </c>
      <c r="P923" s="25">
        <f t="shared" si="29"/>
        <v>-1.07741586588459E-2</v>
      </c>
    </row>
    <row r="924" spans="2:16">
      <c r="B924" s="44">
        <v>352.23137812924995</v>
      </c>
      <c r="C924" s="44">
        <v>352.61859450711972</v>
      </c>
      <c r="D924" s="44">
        <v>343.64485494998746</v>
      </c>
      <c r="E924" s="44">
        <v>344.17727746955842</v>
      </c>
      <c r="F924" s="44">
        <v>5216558.2745037554</v>
      </c>
      <c r="G924" s="44" t="s">
        <v>746</v>
      </c>
      <c r="H924" s="25">
        <f t="shared" si="30"/>
        <v>2.3401023794791032E-2</v>
      </c>
      <c r="J924" s="44">
        <v>240.5</v>
      </c>
      <c r="K924" s="44">
        <v>242.37</v>
      </c>
      <c r="L924" s="44">
        <v>231.5</v>
      </c>
      <c r="M924" s="44">
        <v>232.59</v>
      </c>
      <c r="N924" s="44">
        <v>2072127</v>
      </c>
      <c r="O924" s="44" t="s">
        <v>746</v>
      </c>
      <c r="P924" s="25">
        <f t="shared" si="29"/>
        <v>3.4008340857302644E-2</v>
      </c>
    </row>
    <row r="925" spans="2:16">
      <c r="B925" s="44">
        <v>346.30696754784225</v>
      </c>
      <c r="C925" s="44">
        <v>346.44249328009664</v>
      </c>
      <c r="D925" s="44">
        <v>341.29735565915189</v>
      </c>
      <c r="E925" s="44">
        <v>343.13179324930996</v>
      </c>
      <c r="F925" s="44">
        <v>6828629.549572384</v>
      </c>
      <c r="G925" s="44" t="s">
        <v>747</v>
      </c>
      <c r="H925" s="25">
        <f t="shared" si="30"/>
        <v>9.2535123850365775E-3</v>
      </c>
      <c r="J925" s="44">
        <v>234.18</v>
      </c>
      <c r="K925" s="44">
        <v>235.81</v>
      </c>
      <c r="L925" s="44">
        <v>229.72</v>
      </c>
      <c r="M925" s="44">
        <v>232.01</v>
      </c>
      <c r="N925" s="44">
        <v>1594099</v>
      </c>
      <c r="O925" s="44" t="s">
        <v>747</v>
      </c>
      <c r="P925" s="25">
        <f t="shared" si="29"/>
        <v>9.3530451273653448E-3</v>
      </c>
    </row>
    <row r="926" spans="2:16">
      <c r="B926" s="44">
        <v>348.45601844501954</v>
      </c>
      <c r="C926" s="44">
        <v>349.95648190926494</v>
      </c>
      <c r="D926" s="44">
        <v>344.2644011545791</v>
      </c>
      <c r="E926" s="44">
        <v>347.41053422477114</v>
      </c>
      <c r="F926" s="44">
        <v>4957239.6977627501</v>
      </c>
      <c r="G926" s="44" t="s">
        <v>748</v>
      </c>
      <c r="H926" s="25">
        <f t="shared" si="30"/>
        <v>3.0093624609897063E-3</v>
      </c>
      <c r="J926" s="44">
        <v>235.28</v>
      </c>
      <c r="K926" s="44">
        <v>235.62</v>
      </c>
      <c r="L926" s="44">
        <v>231.17</v>
      </c>
      <c r="M926" s="44">
        <v>232.54</v>
      </c>
      <c r="N926" s="44">
        <v>2109659</v>
      </c>
      <c r="O926" s="44" t="s">
        <v>748</v>
      </c>
      <c r="P926" s="25">
        <f t="shared" si="29"/>
        <v>1.1782919067687248E-2</v>
      </c>
    </row>
    <row r="927" spans="2:16">
      <c r="B927" s="44">
        <v>342.76393769033371</v>
      </c>
      <c r="C927" s="44">
        <v>347.20724562638952</v>
      </c>
      <c r="D927" s="44">
        <v>338.58200080934</v>
      </c>
      <c r="E927" s="44">
        <v>339.5500417540145</v>
      </c>
      <c r="F927" s="44">
        <v>6692581.585150498</v>
      </c>
      <c r="G927" s="44" t="s">
        <v>749</v>
      </c>
      <c r="H927" s="25">
        <f t="shared" si="30"/>
        <v>9.4651613638954135E-3</v>
      </c>
      <c r="J927" s="44">
        <v>227.78</v>
      </c>
      <c r="K927" s="44">
        <v>232.45</v>
      </c>
      <c r="L927" s="44">
        <v>222.65</v>
      </c>
      <c r="M927" s="44">
        <v>224</v>
      </c>
      <c r="N927" s="44">
        <v>1539277</v>
      </c>
      <c r="O927" s="44" t="s">
        <v>749</v>
      </c>
      <c r="P927" s="25">
        <f t="shared" si="29"/>
        <v>1.6874999999999973E-2</v>
      </c>
    </row>
    <row r="928" spans="2:16">
      <c r="B928" s="44">
        <v>343.34476225713837</v>
      </c>
      <c r="C928" s="44">
        <v>349.69511085420288</v>
      </c>
      <c r="D928" s="44">
        <v>341.8539792023397</v>
      </c>
      <c r="E928" s="44">
        <v>347.84615264987463</v>
      </c>
      <c r="F928" s="44">
        <v>8636413.6207187772</v>
      </c>
      <c r="G928" s="44" t="s">
        <v>750</v>
      </c>
      <c r="H928" s="25">
        <f t="shared" si="30"/>
        <v>-1.2940750841844539E-2</v>
      </c>
      <c r="J928" s="44">
        <v>224.75</v>
      </c>
      <c r="K928" s="44">
        <v>229.76</v>
      </c>
      <c r="L928" s="44">
        <v>223.39</v>
      </c>
      <c r="M928" s="44">
        <v>228.77</v>
      </c>
      <c r="N928" s="44">
        <v>1778632</v>
      </c>
      <c r="O928" s="44" t="s">
        <v>750</v>
      </c>
      <c r="P928" s="25">
        <f t="shared" si="29"/>
        <v>-1.7572234121606911E-2</v>
      </c>
    </row>
    <row r="929" spans="2:16">
      <c r="B929" s="44">
        <v>348.3398535316586</v>
      </c>
      <c r="C929" s="44">
        <v>357.09094367151573</v>
      </c>
      <c r="D929" s="44">
        <v>347.38149299643089</v>
      </c>
      <c r="E929" s="44">
        <v>355.60984102616385</v>
      </c>
      <c r="F929" s="44">
        <v>4555209.1822757469</v>
      </c>
      <c r="G929" s="44" t="s">
        <v>751</v>
      </c>
      <c r="H929" s="25">
        <f t="shared" si="30"/>
        <v>-2.0443718524567944E-2</v>
      </c>
      <c r="J929" s="44">
        <v>228.57</v>
      </c>
      <c r="K929" s="44">
        <v>235.26</v>
      </c>
      <c r="L929" s="44">
        <v>228.18</v>
      </c>
      <c r="M929" s="44">
        <v>232.73</v>
      </c>
      <c r="N929" s="44">
        <v>1181781</v>
      </c>
      <c r="O929" s="44" t="s">
        <v>751</v>
      </c>
      <c r="P929" s="25">
        <f t="shared" si="29"/>
        <v>-1.7874790529798457E-2</v>
      </c>
    </row>
    <row r="930" spans="2:16">
      <c r="B930" s="44">
        <v>354.83540827042424</v>
      </c>
      <c r="C930" s="44">
        <v>355.56018052570204</v>
      </c>
      <c r="D930" s="44">
        <v>352.79284187716115</v>
      </c>
      <c r="E930" s="44">
        <v>354.40947025476748</v>
      </c>
      <c r="F930" s="44">
        <v>3002205.6566804931</v>
      </c>
      <c r="G930" s="44" t="s">
        <v>752</v>
      </c>
      <c r="H930" s="25">
        <f t="shared" si="30"/>
        <v>1.201824588238587E-3</v>
      </c>
      <c r="J930" s="44">
        <v>231.09</v>
      </c>
      <c r="K930" s="44">
        <v>231.70840000000001</v>
      </c>
      <c r="L930" s="44">
        <v>227.96</v>
      </c>
      <c r="M930" s="44">
        <v>230</v>
      </c>
      <c r="N930" s="44">
        <v>661804</v>
      </c>
      <c r="O930" s="44" t="s">
        <v>752</v>
      </c>
      <c r="P930" s="25">
        <f t="shared" si="29"/>
        <v>4.7391304347825791E-3</v>
      </c>
    </row>
    <row r="931" spans="2:16">
      <c r="B931" s="44">
        <v>354.28362493195982</v>
      </c>
      <c r="C931" s="44">
        <v>360.00474691498584</v>
      </c>
      <c r="D931" s="44">
        <v>353.70764056987849</v>
      </c>
      <c r="E931" s="44">
        <v>359.75305626937052</v>
      </c>
      <c r="F931" s="44">
        <v>3663213.85423683</v>
      </c>
      <c r="G931" s="44" t="s">
        <v>753</v>
      </c>
      <c r="H931" s="25">
        <f t="shared" si="30"/>
        <v>-1.5203293598471501E-2</v>
      </c>
      <c r="J931" s="44">
        <v>230.71</v>
      </c>
      <c r="K931" s="44">
        <v>236.14</v>
      </c>
      <c r="L931" s="44">
        <v>229.42</v>
      </c>
      <c r="M931" s="44">
        <v>235.42</v>
      </c>
      <c r="N931" s="44">
        <v>1680628</v>
      </c>
      <c r="O931" s="44" t="s">
        <v>753</v>
      </c>
      <c r="P931" s="25">
        <f t="shared" si="29"/>
        <v>-2.0006796363945201E-2</v>
      </c>
    </row>
    <row r="932" spans="2:16">
      <c r="B932" s="44">
        <v>359.84986036383799</v>
      </c>
      <c r="C932" s="44">
        <v>362.47325132390574</v>
      </c>
      <c r="D932" s="44">
        <v>359.43360275762797</v>
      </c>
      <c r="E932" s="44">
        <v>360.36292206451543</v>
      </c>
      <c r="F932" s="44">
        <v>2725427.0746649345</v>
      </c>
      <c r="G932" s="44" t="s">
        <v>754</v>
      </c>
      <c r="H932" s="25">
        <f t="shared" si="30"/>
        <v>-1.4237360984257208E-3</v>
      </c>
      <c r="J932" s="44">
        <v>234.85</v>
      </c>
      <c r="K932" s="44">
        <v>236.7791</v>
      </c>
      <c r="L932" s="44">
        <v>233.04</v>
      </c>
      <c r="M932" s="44">
        <v>233.59</v>
      </c>
      <c r="N932" s="44">
        <v>1204946</v>
      </c>
      <c r="O932" s="44" t="s">
        <v>754</v>
      </c>
      <c r="P932" s="25">
        <f t="shared" si="29"/>
        <v>5.3940665268203958E-3</v>
      </c>
    </row>
    <row r="933" spans="2:16">
      <c r="B933" s="44">
        <v>359.41424193873445</v>
      </c>
      <c r="C933" s="44">
        <v>359.7917779071575</v>
      </c>
      <c r="D933" s="44">
        <v>354.98061441212542</v>
      </c>
      <c r="E933" s="44">
        <v>355.55175856948335</v>
      </c>
      <c r="F933" s="44">
        <v>5075817.3267685166</v>
      </c>
      <c r="G933" s="44" t="s">
        <v>755</v>
      </c>
      <c r="H933" s="25">
        <f t="shared" si="30"/>
        <v>1.0863350485992074E-2</v>
      </c>
      <c r="J933" s="44">
        <v>234.87</v>
      </c>
      <c r="K933" s="44">
        <v>235.2</v>
      </c>
      <c r="L933" s="44">
        <v>229.29</v>
      </c>
      <c r="M933" s="44">
        <v>230.48</v>
      </c>
      <c r="N933" s="44">
        <v>1458455</v>
      </c>
      <c r="O933" s="44" t="s">
        <v>755</v>
      </c>
      <c r="P933" s="25">
        <f t="shared" si="29"/>
        <v>1.90472058313087E-2</v>
      </c>
    </row>
    <row r="934" spans="2:16">
      <c r="B934" s="44">
        <v>353.8092848690693</v>
      </c>
      <c r="C934" s="44">
        <v>354.65148049093614</v>
      </c>
      <c r="D934" s="44">
        <v>349.00780178348396</v>
      </c>
      <c r="E934" s="44">
        <v>349.27885324799286</v>
      </c>
      <c r="F934" s="44">
        <v>2820969.5209930725</v>
      </c>
      <c r="G934" s="44" t="s">
        <v>756</v>
      </c>
      <c r="H934" s="25">
        <f t="shared" si="30"/>
        <v>1.297081566475411E-2</v>
      </c>
      <c r="J934" s="44">
        <v>228.9</v>
      </c>
      <c r="K934" s="44">
        <v>229.41</v>
      </c>
      <c r="L934" s="44">
        <v>224.48</v>
      </c>
      <c r="M934" s="44">
        <v>226.07</v>
      </c>
      <c r="N934" s="44">
        <v>1153045</v>
      </c>
      <c r="O934" s="44" t="s">
        <v>756</v>
      </c>
      <c r="P934" s="25">
        <f t="shared" si="29"/>
        <v>1.2518246560799806E-2</v>
      </c>
    </row>
    <row r="935" spans="2:16">
      <c r="B935" s="44">
        <v>351.18589390900149</v>
      </c>
      <c r="C935" s="44">
        <v>352.86060474328832</v>
      </c>
      <c r="D935" s="44">
        <v>349.8983994525845</v>
      </c>
      <c r="E935" s="44">
        <v>351.72799683801918</v>
      </c>
      <c r="F935" s="44">
        <v>3889013.1876250538</v>
      </c>
      <c r="G935" s="44" t="s">
        <v>757</v>
      </c>
      <c r="H935" s="25">
        <f t="shared" si="30"/>
        <v>-1.5412561237407862E-3</v>
      </c>
      <c r="J935" s="44">
        <v>227.33</v>
      </c>
      <c r="K935" s="44">
        <v>229.29</v>
      </c>
      <c r="L935" s="44">
        <v>226.28</v>
      </c>
      <c r="M935" s="44">
        <v>228.47</v>
      </c>
      <c r="N935" s="44">
        <v>1290780</v>
      </c>
      <c r="O935" s="44" t="s">
        <v>757</v>
      </c>
      <c r="P935" s="25">
        <f t="shared" si="29"/>
        <v>-4.9897141856698468E-3</v>
      </c>
    </row>
    <row r="936" spans="2:16">
      <c r="B936" s="44">
        <v>352.4733883654186</v>
      </c>
      <c r="C936" s="44">
        <v>355.13550096327333</v>
      </c>
      <c r="D936" s="44">
        <v>352.41530590873811</v>
      </c>
      <c r="E936" s="44">
        <v>353.34462521562557</v>
      </c>
      <c r="F936" s="44">
        <v>3121975.3840229558</v>
      </c>
      <c r="G936" s="44" t="s">
        <v>758</v>
      </c>
      <c r="H936" s="25">
        <f t="shared" si="30"/>
        <v>-2.4656858716197716E-3</v>
      </c>
      <c r="J936" s="44">
        <v>229.39</v>
      </c>
      <c r="K936" s="44">
        <v>231.739</v>
      </c>
      <c r="L936" s="44">
        <v>228.74</v>
      </c>
      <c r="M936" s="44">
        <v>230.74</v>
      </c>
      <c r="N936" s="44">
        <v>1366842</v>
      </c>
      <c r="O936" s="44" t="s">
        <v>758</v>
      </c>
      <c r="P936" s="25">
        <f t="shared" si="29"/>
        <v>-5.8507410938719584E-3</v>
      </c>
    </row>
    <row r="937" spans="2:16">
      <c r="B937" s="44">
        <v>353.8092848690693</v>
      </c>
      <c r="C937" s="44">
        <v>356.98445916760153</v>
      </c>
      <c r="D937" s="44">
        <v>352.94153296626314</v>
      </c>
      <c r="E937" s="44">
        <v>355.74536675841824</v>
      </c>
      <c r="F937" s="44">
        <v>3409099.602816686</v>
      </c>
      <c r="G937" s="44" t="s">
        <v>759</v>
      </c>
      <c r="H937" s="25">
        <f t="shared" si="30"/>
        <v>-5.4423249612234326E-3</v>
      </c>
      <c r="J937" s="44">
        <v>231.74</v>
      </c>
      <c r="K937" s="44">
        <v>233.96</v>
      </c>
      <c r="L937" s="44">
        <v>231</v>
      </c>
      <c r="M937" s="44">
        <v>233.96</v>
      </c>
      <c r="N937" s="44">
        <v>1421595</v>
      </c>
      <c r="O937" s="44" t="s">
        <v>759</v>
      </c>
      <c r="P937" s="25">
        <f t="shared" si="29"/>
        <v>-9.4888015045306862E-3</v>
      </c>
    </row>
    <row r="938" spans="2:16">
      <c r="B938" s="44">
        <v>352.58955327877953</v>
      </c>
      <c r="C938" s="44">
        <v>353.36398603451903</v>
      </c>
      <c r="D938" s="44">
        <v>350.16945091709334</v>
      </c>
      <c r="E938" s="44">
        <v>351.69895560967899</v>
      </c>
      <c r="F938" s="44">
        <v>4188879.6360402266</v>
      </c>
      <c r="G938" s="44" t="s">
        <v>760</v>
      </c>
      <c r="H938" s="25">
        <f t="shared" si="30"/>
        <v>2.5322727147616408E-3</v>
      </c>
      <c r="J938" s="44">
        <v>231.05</v>
      </c>
      <c r="K938" s="44">
        <v>232.39</v>
      </c>
      <c r="L938" s="44">
        <v>229.0401</v>
      </c>
      <c r="M938" s="44">
        <v>230.61</v>
      </c>
      <c r="N938" s="44">
        <v>1417087</v>
      </c>
      <c r="O938" s="44" t="s">
        <v>760</v>
      </c>
      <c r="P938" s="25">
        <f t="shared" si="29"/>
        <v>1.9079831750574705E-3</v>
      </c>
    </row>
    <row r="939" spans="2:16">
      <c r="B939" s="44">
        <v>356.40363460079692</v>
      </c>
      <c r="C939" s="44">
        <v>357.75889192334114</v>
      </c>
      <c r="D939" s="44">
        <v>352.49274918431206</v>
      </c>
      <c r="E939" s="44">
        <v>357.27487145100389</v>
      </c>
      <c r="F939" s="44">
        <v>2961850.9586536069</v>
      </c>
      <c r="G939" s="44" t="s">
        <v>761</v>
      </c>
      <c r="H939" s="25">
        <f t="shared" si="30"/>
        <v>-2.4385617904461032E-3</v>
      </c>
      <c r="J939" s="44">
        <v>234.9</v>
      </c>
      <c r="K939" s="44">
        <v>235.82</v>
      </c>
      <c r="L939" s="44">
        <v>231.93</v>
      </c>
      <c r="M939" s="44">
        <v>234.85</v>
      </c>
      <c r="N939" s="44">
        <v>1427234</v>
      </c>
      <c r="O939" s="44" t="s">
        <v>761</v>
      </c>
      <c r="P939" s="25">
        <f t="shared" si="29"/>
        <v>2.1290185224609459E-4</v>
      </c>
    </row>
    <row r="940" spans="2:16">
      <c r="B940" s="44">
        <v>354.62243926259583</v>
      </c>
      <c r="C940" s="44">
        <v>356.81989220700694</v>
      </c>
      <c r="D940" s="44">
        <v>353.18005825503087</v>
      </c>
      <c r="E940" s="44">
        <v>355.44527406556915</v>
      </c>
      <c r="F940" s="44">
        <v>3999834.9463432003</v>
      </c>
      <c r="G940" s="44" t="s">
        <v>762</v>
      </c>
      <c r="H940" s="25">
        <f t="shared" si="30"/>
        <v>-2.3149409009205479E-3</v>
      </c>
      <c r="J940" s="44">
        <v>233.55</v>
      </c>
      <c r="K940" s="44">
        <v>236.49</v>
      </c>
      <c r="L940" s="44">
        <v>232.96</v>
      </c>
      <c r="M940" s="44">
        <v>233.88</v>
      </c>
      <c r="N940" s="44">
        <v>1456154</v>
      </c>
      <c r="O940" s="44" t="s">
        <v>762</v>
      </c>
      <c r="P940" s="25">
        <f t="shared" ref="P940:P1003" si="31">J940/M940-1</f>
        <v>-1.4109799897382702E-3</v>
      </c>
    </row>
    <row r="941" spans="2:16">
      <c r="B941" s="44">
        <v>355.06773809714616</v>
      </c>
      <c r="C941" s="44">
        <v>359.46748419069155</v>
      </c>
      <c r="D941" s="44">
        <v>354.76764540429707</v>
      </c>
      <c r="E941" s="44">
        <v>358.56236590742088</v>
      </c>
      <c r="F941" s="44">
        <v>3211822.8233058555</v>
      </c>
      <c r="G941" s="44" t="s">
        <v>763</v>
      </c>
      <c r="H941" s="25">
        <f t="shared" si="30"/>
        <v>-9.7462203023755967E-3</v>
      </c>
      <c r="J941" s="44">
        <v>233.58</v>
      </c>
      <c r="K941" s="44">
        <v>236.98</v>
      </c>
      <c r="L941" s="44">
        <v>232.87</v>
      </c>
      <c r="M941" s="44">
        <v>236.55</v>
      </c>
      <c r="N941" s="44">
        <v>1852188</v>
      </c>
      <c r="O941" s="44" t="s">
        <v>763</v>
      </c>
      <c r="P941" s="25">
        <f t="shared" si="31"/>
        <v>-1.2555485098287855E-2</v>
      </c>
    </row>
    <row r="942" spans="2:16">
      <c r="B942" s="44">
        <v>362.26028231607739</v>
      </c>
      <c r="C942" s="44">
        <v>362.48293173335247</v>
      </c>
      <c r="D942" s="44">
        <v>359.45296357652143</v>
      </c>
      <c r="E942" s="44">
        <v>361.25255169267126</v>
      </c>
      <c r="F942" s="44">
        <v>3393789.3000019803</v>
      </c>
      <c r="G942" s="44" t="s">
        <v>764</v>
      </c>
      <c r="H942" s="25">
        <f t="shared" si="30"/>
        <v>2.7895460355487067E-3</v>
      </c>
      <c r="J942" s="44">
        <v>238.91</v>
      </c>
      <c r="K942" s="44">
        <v>240.01499999999999</v>
      </c>
      <c r="L942" s="44">
        <v>236.61</v>
      </c>
      <c r="M942" s="44">
        <v>238.95</v>
      </c>
      <c r="N942" s="44">
        <v>1595736</v>
      </c>
      <c r="O942" s="44" t="s">
        <v>764</v>
      </c>
      <c r="P942" s="25">
        <f t="shared" si="31"/>
        <v>-1.6739903745555118E-4</v>
      </c>
    </row>
    <row r="943" spans="2:16">
      <c r="B943" s="44">
        <v>363.19928203241159</v>
      </c>
      <c r="C943" s="44">
        <v>367.30377563783134</v>
      </c>
      <c r="D943" s="44">
        <v>363.10247793794412</v>
      </c>
      <c r="E943" s="44">
        <v>363.65426127640865</v>
      </c>
      <c r="F943" s="44">
        <v>3179102.099896112</v>
      </c>
      <c r="G943" s="44" t="s">
        <v>765</v>
      </c>
      <c r="H943" s="25">
        <f t="shared" si="30"/>
        <v>-1.2511313421712522E-3</v>
      </c>
      <c r="J943" s="44">
        <v>240.16</v>
      </c>
      <c r="K943" s="44">
        <v>244.06</v>
      </c>
      <c r="L943" s="44">
        <v>238.54</v>
      </c>
      <c r="M943" s="44">
        <v>240.77</v>
      </c>
      <c r="N943" s="44">
        <v>1615338</v>
      </c>
      <c r="O943" s="44" t="s">
        <v>765</v>
      </c>
      <c r="P943" s="25">
        <f t="shared" si="31"/>
        <v>-2.5335382315072597E-3</v>
      </c>
    </row>
    <row r="944" spans="2:16">
      <c r="B944" s="44">
        <v>368.32021862973954</v>
      </c>
      <c r="C944" s="44">
        <v>368.36862067697319</v>
      </c>
      <c r="D944" s="44">
        <v>364.30284870934048</v>
      </c>
      <c r="E944" s="44">
        <v>365.09664228397355</v>
      </c>
      <c r="F944" s="44">
        <v>2925104.579075662</v>
      </c>
      <c r="G944" s="44" t="s">
        <v>766</v>
      </c>
      <c r="H944" s="25">
        <f t="shared" si="30"/>
        <v>8.8293782314730063E-3</v>
      </c>
      <c r="J944" s="44">
        <v>244.77</v>
      </c>
      <c r="K944" s="44">
        <v>245.5</v>
      </c>
      <c r="L944" s="44">
        <v>239.1</v>
      </c>
      <c r="M944" s="44">
        <v>239.75</v>
      </c>
      <c r="N944" s="44">
        <v>1341372</v>
      </c>
      <c r="O944" s="44" t="s">
        <v>766</v>
      </c>
      <c r="P944" s="25">
        <f t="shared" si="31"/>
        <v>2.0938477580813464E-2</v>
      </c>
    </row>
    <row r="945" spans="2:16">
      <c r="B945" s="44">
        <v>367.09080663000293</v>
      </c>
      <c r="C945" s="44">
        <v>369.23017711773355</v>
      </c>
      <c r="D945" s="44">
        <v>363.45097267802697</v>
      </c>
      <c r="E945" s="44">
        <v>365.88075544915984</v>
      </c>
      <c r="F945" s="44">
        <v>4873799.0122789731</v>
      </c>
      <c r="G945" s="44" t="s">
        <v>767</v>
      </c>
      <c r="H945" s="25">
        <f t="shared" si="30"/>
        <v>3.3072282781247964E-3</v>
      </c>
      <c r="J945" s="44">
        <v>241.09</v>
      </c>
      <c r="K945" s="44">
        <v>245.66</v>
      </c>
      <c r="L945" s="44">
        <v>239.67</v>
      </c>
      <c r="M945" s="44">
        <v>243.42</v>
      </c>
      <c r="N945" s="44">
        <v>1799218</v>
      </c>
      <c r="O945" s="44" t="s">
        <v>767</v>
      </c>
      <c r="P945" s="25">
        <f t="shared" si="31"/>
        <v>-9.5719332840357163E-3</v>
      </c>
    </row>
    <row r="946" spans="2:16">
      <c r="B946" s="44">
        <v>367.22633236225738</v>
      </c>
      <c r="C946" s="44">
        <v>367.31345604727807</v>
      </c>
      <c r="D946" s="44">
        <v>363.20896244185832</v>
      </c>
      <c r="E946" s="44">
        <v>363.6436128260172</v>
      </c>
      <c r="F946" s="44">
        <v>3079001.995109133</v>
      </c>
      <c r="G946" s="44" t="s">
        <v>768</v>
      </c>
      <c r="H946" s="25">
        <f t="shared" si="30"/>
        <v>9.852282316737071E-3</v>
      </c>
      <c r="J946" s="44">
        <v>245.13</v>
      </c>
      <c r="K946" s="44">
        <v>246.54</v>
      </c>
      <c r="L946" s="44">
        <v>244.74</v>
      </c>
      <c r="M946" s="44">
        <v>246.09</v>
      </c>
      <c r="N946" s="44">
        <v>1277001</v>
      </c>
      <c r="O946" s="44" t="s">
        <v>768</v>
      </c>
      <c r="P946" s="25">
        <f t="shared" si="31"/>
        <v>-3.9010118249421799E-3</v>
      </c>
    </row>
    <row r="947" spans="2:16">
      <c r="B947" s="44">
        <v>363.03471507181695</v>
      </c>
      <c r="C947" s="44">
        <v>363.39289022134648</v>
      </c>
      <c r="D947" s="44">
        <v>360.30483960783494</v>
      </c>
      <c r="E947" s="44">
        <v>361.07927236357455</v>
      </c>
      <c r="F947" s="44">
        <v>3364222.3688122826</v>
      </c>
      <c r="G947" s="44" t="s">
        <v>769</v>
      </c>
      <c r="H947" s="25">
        <f t="shared" si="30"/>
        <v>5.4155495978551738E-3</v>
      </c>
      <c r="J947" s="44">
        <v>245.27</v>
      </c>
      <c r="K947" s="44">
        <v>246.53</v>
      </c>
      <c r="L947" s="44">
        <v>242.6</v>
      </c>
      <c r="M947" s="44">
        <v>242.91</v>
      </c>
      <c r="N947" s="44">
        <v>1199572</v>
      </c>
      <c r="O947" s="44" t="s">
        <v>769</v>
      </c>
      <c r="P947" s="25">
        <f t="shared" si="31"/>
        <v>9.715532501749724E-3</v>
      </c>
    </row>
    <row r="948" spans="2:16">
      <c r="B948" s="44">
        <v>362.15379781216319</v>
      </c>
      <c r="C948" s="44">
        <v>368.82359992097025</v>
      </c>
      <c r="D948" s="44">
        <v>361.02951505901825</v>
      </c>
      <c r="E948" s="44">
        <v>368.79455869263001</v>
      </c>
      <c r="F948" s="44">
        <v>3437576.7040711897</v>
      </c>
      <c r="G948" s="44" t="s">
        <v>770</v>
      </c>
      <c r="H948" s="25">
        <f t="shared" si="30"/>
        <v>-1.8006667191642345E-2</v>
      </c>
      <c r="J948" s="44">
        <v>244.18</v>
      </c>
      <c r="K948" s="44">
        <v>251.07</v>
      </c>
      <c r="L948" s="44">
        <v>243.65</v>
      </c>
      <c r="M948" s="44">
        <v>250.52</v>
      </c>
      <c r="N948" s="44">
        <v>1425884</v>
      </c>
      <c r="O948" s="44" t="s">
        <v>770</v>
      </c>
      <c r="P948" s="25">
        <f t="shared" si="31"/>
        <v>-2.5307360689765246E-2</v>
      </c>
    </row>
    <row r="949" spans="2:16">
      <c r="B949" s="44">
        <v>365.28057006346165</v>
      </c>
      <c r="C949" s="44">
        <v>368.75583705484303</v>
      </c>
      <c r="D949" s="44">
        <v>364.69006508721031</v>
      </c>
      <c r="E949" s="44">
        <v>367.55546628344666</v>
      </c>
      <c r="F949" s="44">
        <v>3017953.9574975902</v>
      </c>
      <c r="G949" s="44" t="s">
        <v>771</v>
      </c>
      <c r="H949" s="25">
        <f t="shared" si="30"/>
        <v>-6.1892596591957005E-3</v>
      </c>
      <c r="J949" s="44">
        <v>248.85</v>
      </c>
      <c r="K949" s="44">
        <v>253.23</v>
      </c>
      <c r="L949" s="44">
        <v>248.2</v>
      </c>
      <c r="M949" s="44">
        <v>249.15</v>
      </c>
      <c r="N949" s="44">
        <v>1318947</v>
      </c>
      <c r="O949" s="44" t="s">
        <v>771</v>
      </c>
      <c r="P949" s="25">
        <f t="shared" si="31"/>
        <v>-1.2040939193257438E-3</v>
      </c>
    </row>
    <row r="950" spans="2:16">
      <c r="B950" s="44">
        <v>369.32698121220096</v>
      </c>
      <c r="C950" s="44">
        <v>370.51457384312761</v>
      </c>
      <c r="D950" s="44">
        <v>362.64749869394717</v>
      </c>
      <c r="E950" s="44">
        <v>363.78010659921631</v>
      </c>
      <c r="F950" s="44">
        <v>4653349.6592076896</v>
      </c>
      <c r="G950" s="44" t="s">
        <v>772</v>
      </c>
      <c r="H950" s="25">
        <f t="shared" si="30"/>
        <v>1.5247877804092758E-2</v>
      </c>
      <c r="J950" s="44">
        <v>253.06</v>
      </c>
      <c r="K950" s="44">
        <v>254.55</v>
      </c>
      <c r="L950" s="44">
        <v>246.89500000000001</v>
      </c>
      <c r="M950" s="44">
        <v>247.81</v>
      </c>
      <c r="N950" s="44">
        <v>1359638</v>
      </c>
      <c r="O950" s="44" t="s">
        <v>772</v>
      </c>
      <c r="P950" s="25">
        <f t="shared" si="31"/>
        <v>2.1185585731003487E-2</v>
      </c>
    </row>
    <row r="951" spans="2:16">
      <c r="B951" s="44">
        <v>364.62230222108309</v>
      </c>
      <c r="C951" s="44">
        <v>365.85171422081964</v>
      </c>
      <c r="D951" s="44">
        <v>363.03471507181695</v>
      </c>
      <c r="E951" s="44">
        <v>364.54001874078574</v>
      </c>
      <c r="F951" s="44">
        <v>2975182.0063443012</v>
      </c>
      <c r="G951" s="44" t="s">
        <v>773</v>
      </c>
      <c r="H951" s="25">
        <f t="shared" si="30"/>
        <v>2.2571864834364241E-4</v>
      </c>
      <c r="J951" s="44">
        <v>248.98</v>
      </c>
      <c r="K951" s="44">
        <v>252.97</v>
      </c>
      <c r="L951" s="44">
        <v>248.24</v>
      </c>
      <c r="M951" s="44">
        <v>251.76</v>
      </c>
      <c r="N951" s="44">
        <v>1329176</v>
      </c>
      <c r="O951" s="44" t="s">
        <v>773</v>
      </c>
      <c r="P951" s="25">
        <f t="shared" si="31"/>
        <v>-1.1042262472195752E-2</v>
      </c>
    </row>
    <row r="952" spans="2:16">
      <c r="B952" s="44">
        <v>366.74231188992019</v>
      </c>
      <c r="C952" s="44">
        <v>370.95328999925403</v>
      </c>
      <c r="D952" s="44">
        <v>365.71618848856525</v>
      </c>
      <c r="E952" s="44">
        <v>366.14212650422201</v>
      </c>
      <c r="F952" s="44">
        <v>6686193.425606193</v>
      </c>
      <c r="G952" s="44" t="s">
        <v>774</v>
      </c>
      <c r="H952" s="25">
        <f t="shared" si="30"/>
        <v>1.6392142347250171E-3</v>
      </c>
      <c r="J952" s="44">
        <v>254.68</v>
      </c>
      <c r="K952" s="44">
        <v>260.5</v>
      </c>
      <c r="L952" s="44">
        <v>252.93</v>
      </c>
      <c r="M952" s="44">
        <v>257.81</v>
      </c>
      <c r="N952" s="44">
        <v>1691448</v>
      </c>
      <c r="O952" s="44" t="s">
        <v>774</v>
      </c>
      <c r="P952" s="25">
        <f t="shared" si="31"/>
        <v>-1.2140723788836683E-2</v>
      </c>
    </row>
    <row r="953" spans="2:16">
      <c r="B953" s="44">
        <v>370.7015993536387</v>
      </c>
      <c r="C953" s="44">
        <v>372.1246195423102</v>
      </c>
      <c r="D953" s="44">
        <v>367.27473440949109</v>
      </c>
      <c r="E953" s="44">
        <v>369.06561015713885</v>
      </c>
      <c r="F953" s="44">
        <v>5379861.2844329085</v>
      </c>
      <c r="G953" s="44" t="s">
        <v>775</v>
      </c>
      <c r="H953" s="25">
        <f t="shared" si="30"/>
        <v>4.432786885245843E-3</v>
      </c>
      <c r="J953" s="44">
        <v>260.89999999999998</v>
      </c>
      <c r="K953" s="44">
        <v>261.95</v>
      </c>
      <c r="L953" s="44">
        <v>252.88</v>
      </c>
      <c r="M953" s="44">
        <v>253.85</v>
      </c>
      <c r="N953" s="44">
        <v>2197290</v>
      </c>
      <c r="O953" s="44" t="s">
        <v>775</v>
      </c>
      <c r="P953" s="25">
        <f t="shared" si="31"/>
        <v>2.7772306480204678E-2</v>
      </c>
    </row>
    <row r="954" spans="2:16">
      <c r="B954" s="44">
        <v>365.46449784294981</v>
      </c>
      <c r="C954" s="44">
        <v>368.01044552744372</v>
      </c>
      <c r="D954" s="44">
        <v>357.94281970282924</v>
      </c>
      <c r="E954" s="44">
        <v>360.53716943455686</v>
      </c>
      <c r="F954" s="44">
        <v>5104837.7934693824</v>
      </c>
      <c r="G954" s="44" t="s">
        <v>776</v>
      </c>
      <c r="H954" s="25">
        <f t="shared" si="30"/>
        <v>1.36666308667166E-2</v>
      </c>
      <c r="J954" s="44">
        <v>251.19</v>
      </c>
      <c r="K954" s="44">
        <v>253.54</v>
      </c>
      <c r="L954" s="44">
        <v>244.66</v>
      </c>
      <c r="M954" s="44">
        <v>246.8</v>
      </c>
      <c r="N954" s="44">
        <v>1646575</v>
      </c>
      <c r="O954" s="44" t="s">
        <v>776</v>
      </c>
      <c r="P954" s="25">
        <f t="shared" si="31"/>
        <v>1.7787682333873622E-2</v>
      </c>
    </row>
    <row r="955" spans="2:16">
      <c r="B955" s="44">
        <v>361.5052103792313</v>
      </c>
      <c r="C955" s="44">
        <v>361.60201447369877</v>
      </c>
      <c r="D955" s="44">
        <v>356.55852115194477</v>
      </c>
      <c r="E955" s="44">
        <v>356.82957261645367</v>
      </c>
      <c r="F955" s="44">
        <v>4319740.8363819132</v>
      </c>
      <c r="G955" s="44" t="s">
        <v>777</v>
      </c>
      <c r="H955" s="25">
        <f t="shared" si="30"/>
        <v>1.3103279889313812E-2</v>
      </c>
      <c r="J955" s="44">
        <v>245.69</v>
      </c>
      <c r="K955" s="44">
        <v>245.73</v>
      </c>
      <c r="L955" s="44">
        <v>241.19</v>
      </c>
      <c r="M955" s="44">
        <v>243.2</v>
      </c>
      <c r="N955" s="44">
        <v>1782630</v>
      </c>
      <c r="O955" s="44" t="s">
        <v>777</v>
      </c>
      <c r="P955" s="25">
        <f t="shared" si="31"/>
        <v>1.0238486842105265E-2</v>
      </c>
    </row>
    <row r="956" spans="2:16">
      <c r="B956" s="44">
        <v>356.44235623858384</v>
      </c>
      <c r="C956" s="44">
        <v>360.39196329285568</v>
      </c>
      <c r="D956" s="44">
        <v>356.10354190794783</v>
      </c>
      <c r="E956" s="44">
        <v>358.32035567125229</v>
      </c>
      <c r="F956" s="44">
        <v>3388900.0439988766</v>
      </c>
      <c r="G956" s="44" t="s">
        <v>778</v>
      </c>
      <c r="H956" s="25">
        <f t="shared" si="30"/>
        <v>-5.2411184654869158E-3</v>
      </c>
      <c r="J956" s="44">
        <v>242.23</v>
      </c>
      <c r="K956" s="44">
        <v>246.80850000000001</v>
      </c>
      <c r="L956" s="44">
        <v>241.98</v>
      </c>
      <c r="M956" s="44">
        <v>245</v>
      </c>
      <c r="N956" s="44">
        <v>1642957</v>
      </c>
      <c r="O956" s="44" t="s">
        <v>778</v>
      </c>
      <c r="P956" s="25">
        <f t="shared" si="31"/>
        <v>-1.1306122448979661E-2</v>
      </c>
    </row>
    <row r="957" spans="2:16">
      <c r="B957" s="44">
        <v>360.95342704076688</v>
      </c>
      <c r="C957" s="44">
        <v>363.09279752849739</v>
      </c>
      <c r="D957" s="44">
        <v>358.91086064750374</v>
      </c>
      <c r="E957" s="44">
        <v>359.0367059703114</v>
      </c>
      <c r="F957" s="44">
        <v>5732734.7882647878</v>
      </c>
      <c r="G957" s="44" t="s">
        <v>779</v>
      </c>
      <c r="H957" s="25">
        <f t="shared" si="30"/>
        <v>5.3385100703713384E-3</v>
      </c>
      <c r="J957" s="44">
        <v>247.26</v>
      </c>
      <c r="K957" s="44">
        <v>250.21</v>
      </c>
      <c r="L957" s="44">
        <v>246.89</v>
      </c>
      <c r="M957" s="44">
        <v>248.58</v>
      </c>
      <c r="N957" s="44">
        <v>1568605</v>
      </c>
      <c r="O957" s="44" t="s">
        <v>779</v>
      </c>
      <c r="P957" s="25">
        <f t="shared" si="31"/>
        <v>-5.310161718561468E-3</v>
      </c>
    </row>
    <row r="958" spans="2:16">
      <c r="B958" s="44">
        <v>359.92730363941195</v>
      </c>
      <c r="C958" s="44">
        <v>360.16931387558054</v>
      </c>
      <c r="D958" s="44">
        <v>355.86153167177918</v>
      </c>
      <c r="E958" s="44">
        <v>358.62044836410138</v>
      </c>
      <c r="F958" s="44">
        <v>3575193.8169969241</v>
      </c>
      <c r="G958" s="44" t="s">
        <v>780</v>
      </c>
      <c r="H958" s="25">
        <f t="shared" si="30"/>
        <v>3.6441181234143638E-3</v>
      </c>
      <c r="J958" s="44">
        <v>250.55</v>
      </c>
      <c r="K958" s="44">
        <v>250.82</v>
      </c>
      <c r="L958" s="44">
        <v>243.5</v>
      </c>
      <c r="M958" s="44">
        <v>246.48</v>
      </c>
      <c r="N958" s="44">
        <v>1788514</v>
      </c>
      <c r="O958" s="44" t="s">
        <v>780</v>
      </c>
      <c r="P958" s="25">
        <f t="shared" si="31"/>
        <v>1.6512495942875738E-2</v>
      </c>
    </row>
    <row r="959" spans="2:16">
      <c r="B959" s="44">
        <v>356.12290272684129</v>
      </c>
      <c r="C959" s="44">
        <v>356.39395419135013</v>
      </c>
      <c r="D959" s="44">
        <v>350.10168805096617</v>
      </c>
      <c r="E959" s="44">
        <v>352.15393485367593</v>
      </c>
      <c r="F959" s="44">
        <v>3162761.8819672936</v>
      </c>
      <c r="G959" s="44" t="s">
        <v>781</v>
      </c>
      <c r="H959" s="25">
        <f t="shared" si="30"/>
        <v>1.1270548133487379E-2</v>
      </c>
      <c r="J959" s="44">
        <v>243.8</v>
      </c>
      <c r="K959" s="44">
        <v>247</v>
      </c>
      <c r="L959" s="44">
        <v>238.84</v>
      </c>
      <c r="M959" s="44">
        <v>241.09</v>
      </c>
      <c r="N959" s="44">
        <v>5863584</v>
      </c>
      <c r="O959" s="44" t="s">
        <v>781</v>
      </c>
      <c r="P959" s="25">
        <f t="shared" si="31"/>
        <v>1.1240615537766008E-2</v>
      </c>
    </row>
    <row r="960" spans="2:16">
      <c r="B960" s="44">
        <v>355.99705740403363</v>
      </c>
      <c r="C960" s="44">
        <v>356.82957261645367</v>
      </c>
      <c r="D960" s="44">
        <v>353.74152200294213</v>
      </c>
      <c r="E960" s="44">
        <v>354.85476908931776</v>
      </c>
      <c r="F960" s="44">
        <v>2791596.796464812</v>
      </c>
      <c r="G960" s="44" t="s">
        <v>782</v>
      </c>
      <c r="H960" s="25">
        <f t="shared" si="30"/>
        <v>3.2190304716697149E-3</v>
      </c>
      <c r="J960" s="44">
        <v>257.98</v>
      </c>
      <c r="K960" s="44">
        <v>259.40499999999997</v>
      </c>
      <c r="L960" s="44">
        <v>254.23</v>
      </c>
      <c r="M960" s="44">
        <v>254.6</v>
      </c>
      <c r="N960" s="44">
        <v>3127241</v>
      </c>
      <c r="O960" s="44" t="s">
        <v>782</v>
      </c>
      <c r="P960" s="25">
        <f t="shared" si="31"/>
        <v>1.3275726630007867E-2</v>
      </c>
    </row>
    <row r="961" spans="2:16">
      <c r="B961" s="44">
        <v>356.37459337245662</v>
      </c>
      <c r="C961" s="44">
        <v>358.17514952955116</v>
      </c>
      <c r="D961" s="44">
        <v>352.02808953086827</v>
      </c>
      <c r="E961" s="44">
        <v>352.86060474328832</v>
      </c>
      <c r="F961" s="44">
        <v>3350357.2528026351</v>
      </c>
      <c r="G961" s="44" t="s">
        <v>783</v>
      </c>
      <c r="H961" s="25">
        <f t="shared" si="30"/>
        <v>9.9585745247043889E-3</v>
      </c>
      <c r="J961" s="44">
        <v>255.98</v>
      </c>
      <c r="K961" s="44">
        <v>257.87</v>
      </c>
      <c r="L961" s="44">
        <v>254.01</v>
      </c>
      <c r="M961" s="44">
        <v>256.77</v>
      </c>
      <c r="N961" s="44">
        <v>2008569</v>
      </c>
      <c r="O961" s="44" t="s">
        <v>783</v>
      </c>
      <c r="P961" s="25">
        <f t="shared" si="31"/>
        <v>-3.0766834131712439E-3</v>
      </c>
    </row>
    <row r="962" spans="2:16">
      <c r="B962" s="44">
        <v>352.08617198754877</v>
      </c>
      <c r="C962" s="44">
        <v>352.27978017648371</v>
      </c>
      <c r="D962" s="44">
        <v>345.4744523354222</v>
      </c>
      <c r="E962" s="44">
        <v>346.99427661856112</v>
      </c>
      <c r="F962" s="44">
        <v>3372855.2681188406</v>
      </c>
      <c r="G962" s="44" t="s">
        <v>784</v>
      </c>
      <c r="H962" s="25">
        <f t="shared" ref="H962:H1025" si="32">B962/E962-1</f>
        <v>1.4674292090947061E-2</v>
      </c>
      <c r="J962" s="44">
        <v>256.77</v>
      </c>
      <c r="K962" s="44">
        <v>256.83999999999997</v>
      </c>
      <c r="L962" s="44">
        <v>248.96</v>
      </c>
      <c r="M962" s="44">
        <v>252.44</v>
      </c>
      <c r="N962" s="44">
        <v>1968527</v>
      </c>
      <c r="O962" s="44" t="s">
        <v>784</v>
      </c>
      <c r="P962" s="25">
        <f t="shared" si="31"/>
        <v>1.7152590714625271E-2</v>
      </c>
    </row>
    <row r="963" spans="2:16">
      <c r="B963" s="44">
        <v>345.72614298103753</v>
      </c>
      <c r="C963" s="44">
        <v>347.87035367349154</v>
      </c>
      <c r="D963" s="44">
        <v>344.47737016240751</v>
      </c>
      <c r="E963" s="44">
        <v>346.32632836673571</v>
      </c>
      <c r="F963" s="44">
        <v>3630917.699645442</v>
      </c>
      <c r="G963" s="44" t="s">
        <v>785</v>
      </c>
      <c r="H963" s="25">
        <f t="shared" si="32"/>
        <v>-1.7330053667263812E-3</v>
      </c>
      <c r="J963" s="44">
        <v>252.5</v>
      </c>
      <c r="K963" s="44">
        <v>255.67500000000001</v>
      </c>
      <c r="L963" s="44">
        <v>250.62</v>
      </c>
      <c r="M963" s="44">
        <v>254.84</v>
      </c>
      <c r="N963" s="44">
        <v>1758537</v>
      </c>
      <c r="O963" s="44" t="s">
        <v>785</v>
      </c>
      <c r="P963" s="25">
        <f t="shared" si="31"/>
        <v>-9.1822319886988302E-3</v>
      </c>
    </row>
    <row r="964" spans="2:16">
      <c r="B964" s="44">
        <v>348.23336902774446</v>
      </c>
      <c r="C964" s="44">
        <v>355.90993371901294</v>
      </c>
      <c r="D964" s="44">
        <v>348.08816288604322</v>
      </c>
      <c r="E964" s="44">
        <v>354.95157318378523</v>
      </c>
      <c r="F964" s="44">
        <v>4061608.1598926638</v>
      </c>
      <c r="G964" s="44" t="s">
        <v>786</v>
      </c>
      <c r="H964" s="25">
        <f t="shared" si="32"/>
        <v>-1.8927100662721297E-2</v>
      </c>
      <c r="J964" s="44">
        <v>256.35000000000002</v>
      </c>
      <c r="K964" s="44">
        <v>264.89</v>
      </c>
      <c r="L964" s="44">
        <v>255.61</v>
      </c>
      <c r="M964" s="44">
        <v>261.57</v>
      </c>
      <c r="N964" s="44">
        <v>1641591</v>
      </c>
      <c r="O964" s="44" t="s">
        <v>786</v>
      </c>
      <c r="P964" s="25">
        <f t="shared" si="31"/>
        <v>-1.9956417020300377E-2</v>
      </c>
    </row>
    <row r="965" spans="2:16">
      <c r="B965" s="44">
        <v>353.98353223911073</v>
      </c>
      <c r="C965" s="44">
        <v>355.96801617569338</v>
      </c>
      <c r="D965" s="44">
        <v>353.20909948337118</v>
      </c>
      <c r="E965" s="44">
        <v>354.48691353034144</v>
      </c>
      <c r="F965" s="44">
        <v>5105159.0608720798</v>
      </c>
      <c r="G965" s="44" t="s">
        <v>787</v>
      </c>
      <c r="H965" s="25">
        <f t="shared" si="32"/>
        <v>-1.4200278543925471E-3</v>
      </c>
      <c r="J965" s="44">
        <v>261.73</v>
      </c>
      <c r="K965" s="44">
        <v>261.97000000000003</v>
      </c>
      <c r="L965" s="44">
        <v>254.86</v>
      </c>
      <c r="M965" s="44">
        <v>258.48</v>
      </c>
      <c r="N965" s="44">
        <v>1595346</v>
      </c>
      <c r="O965" s="44" t="s">
        <v>787</v>
      </c>
      <c r="P965" s="25">
        <f t="shared" si="31"/>
        <v>1.2573506654286692E-2</v>
      </c>
    </row>
    <row r="966" spans="2:16">
      <c r="B966" s="44">
        <v>354.52563516812842</v>
      </c>
      <c r="C966" s="44">
        <v>355.00936522818222</v>
      </c>
      <c r="D966" s="44">
        <v>349.91776027147802</v>
      </c>
      <c r="E966" s="44">
        <v>350.1217264985209</v>
      </c>
      <c r="F966" s="44">
        <v>3114702.9643606166</v>
      </c>
      <c r="G966" s="44" t="s">
        <v>788</v>
      </c>
      <c r="H966" s="25">
        <f t="shared" si="32"/>
        <v>1.257822161923472E-2</v>
      </c>
      <c r="J966" s="44">
        <v>258.89999999999998</v>
      </c>
      <c r="K966" s="44">
        <v>259.8</v>
      </c>
      <c r="L966" s="44">
        <v>253.77010000000001</v>
      </c>
      <c r="M966" s="44">
        <v>255.4</v>
      </c>
      <c r="N966" s="44">
        <v>1716105</v>
      </c>
      <c r="O966" s="44" t="s">
        <v>788</v>
      </c>
      <c r="P966" s="25">
        <f t="shared" si="31"/>
        <v>1.3703993735316944E-2</v>
      </c>
    </row>
    <row r="967" spans="2:16">
      <c r="B967" s="44">
        <v>353.15101702669068</v>
      </c>
      <c r="C967" s="44">
        <v>354.44819189255446</v>
      </c>
      <c r="D967" s="44">
        <v>349.07556464961124</v>
      </c>
      <c r="E967" s="44">
        <v>352.83156351494813</v>
      </c>
      <c r="F967" s="44">
        <v>4900061.3311817646</v>
      </c>
      <c r="G967" s="44" t="s">
        <v>789</v>
      </c>
      <c r="H967" s="25">
        <f t="shared" si="32"/>
        <v>9.0539947322199055E-4</v>
      </c>
      <c r="J967" s="44">
        <v>256.94</v>
      </c>
      <c r="K967" s="44">
        <v>260.35000000000002</v>
      </c>
      <c r="L967" s="44">
        <v>254.98</v>
      </c>
      <c r="M967" s="44">
        <v>258.74</v>
      </c>
      <c r="N967" s="44">
        <v>1925139</v>
      </c>
      <c r="O967" s="44" t="s">
        <v>789</v>
      </c>
      <c r="P967" s="25">
        <f t="shared" si="31"/>
        <v>-6.9567906006029467E-3</v>
      </c>
    </row>
    <row r="968" spans="2:16">
      <c r="B968" s="44">
        <v>351.83448134193338</v>
      </c>
      <c r="C968" s="44">
        <v>351.89256379861388</v>
      </c>
      <c r="D968" s="44">
        <v>348.16560616161723</v>
      </c>
      <c r="E968" s="44">
        <v>348.89163687012308</v>
      </c>
      <c r="F968" s="44">
        <v>5899060.3976160996</v>
      </c>
      <c r="G968" s="44" t="s">
        <v>790</v>
      </c>
      <c r="H968" s="25">
        <f t="shared" si="32"/>
        <v>8.4348381010515006E-3</v>
      </c>
      <c r="J968" s="44">
        <v>259.95999999999998</v>
      </c>
      <c r="K968" s="44">
        <v>265.49</v>
      </c>
      <c r="L968" s="44">
        <v>254.56</v>
      </c>
      <c r="M968" s="44">
        <v>261.39</v>
      </c>
      <c r="N968" s="44">
        <v>3506758</v>
      </c>
      <c r="O968" s="44" t="s">
        <v>790</v>
      </c>
      <c r="P968" s="25">
        <f t="shared" si="31"/>
        <v>-5.4707525153985248E-3</v>
      </c>
    </row>
    <row r="969" spans="2:16">
      <c r="B969" s="44">
        <v>347.40085381532435</v>
      </c>
      <c r="C969" s="44">
        <v>347.47829709089831</v>
      </c>
      <c r="D969" s="44">
        <v>343.61581372164721</v>
      </c>
      <c r="E969" s="44">
        <v>344.46768975296072</v>
      </c>
      <c r="F969" s="44">
        <v>3611127.2144336384</v>
      </c>
      <c r="G969" s="44" t="s">
        <v>791</v>
      </c>
      <c r="H969" s="25">
        <f t="shared" si="32"/>
        <v>8.5150629496402175E-3</v>
      </c>
      <c r="J969" s="44">
        <v>271.36</v>
      </c>
      <c r="K969" s="44">
        <v>271.41000000000003</v>
      </c>
      <c r="L969" s="44">
        <v>263.33</v>
      </c>
      <c r="M969" s="44">
        <v>263.33</v>
      </c>
      <c r="N969" s="44">
        <v>1316962</v>
      </c>
      <c r="O969" s="44" t="s">
        <v>791</v>
      </c>
      <c r="P969" s="25">
        <f t="shared" si="31"/>
        <v>3.0494056886796184E-2</v>
      </c>
    </row>
    <row r="970" spans="2:16">
      <c r="B970" s="44">
        <v>344.94202981585124</v>
      </c>
      <c r="C970" s="44">
        <v>350.16945091709334</v>
      </c>
      <c r="D970" s="44">
        <v>344.83690056925963</v>
      </c>
      <c r="E970" s="44">
        <v>347.26532808306996</v>
      </c>
      <c r="F970" s="44">
        <v>3899961.0716565126</v>
      </c>
      <c r="G970" s="44" t="s">
        <v>792</v>
      </c>
      <c r="H970" s="25">
        <f t="shared" si="32"/>
        <v>-6.6902684470214746E-3</v>
      </c>
      <c r="J970" s="44">
        <v>264.93</v>
      </c>
      <c r="K970" s="44">
        <v>273.58</v>
      </c>
      <c r="L970" s="44">
        <v>264.20999999999998</v>
      </c>
      <c r="M970" s="44">
        <v>272.58999999999997</v>
      </c>
      <c r="N970" s="44">
        <v>1509131</v>
      </c>
      <c r="O970" s="44" t="s">
        <v>792</v>
      </c>
      <c r="P970" s="25">
        <f t="shared" si="31"/>
        <v>-2.8100810741406357E-2</v>
      </c>
    </row>
    <row r="971" spans="2:16">
      <c r="B971" s="44">
        <v>345.19372046146657</v>
      </c>
      <c r="C971" s="44">
        <v>346.23920468171502</v>
      </c>
      <c r="D971" s="44">
        <v>337.59450224167756</v>
      </c>
      <c r="E971" s="44">
        <v>340.35351573809425</v>
      </c>
      <c r="F971" s="44">
        <v>3579163.6904006698</v>
      </c>
      <c r="G971" s="44" t="s">
        <v>793</v>
      </c>
      <c r="H971" s="25">
        <f t="shared" si="32"/>
        <v>1.4221109815410138E-2</v>
      </c>
      <c r="J971" s="44">
        <v>270.39</v>
      </c>
      <c r="K971" s="44">
        <v>273.39999999999998</v>
      </c>
      <c r="L971" s="44">
        <v>264.68</v>
      </c>
      <c r="M971" s="44">
        <v>271.17</v>
      </c>
      <c r="N971" s="44">
        <v>1659514</v>
      </c>
      <c r="O971" s="44" t="s">
        <v>793</v>
      </c>
      <c r="P971" s="25">
        <f t="shared" si="31"/>
        <v>-2.8764243832283265E-3</v>
      </c>
    </row>
    <row r="972" spans="2:16">
      <c r="B972" s="44">
        <v>337.51715577019814</v>
      </c>
      <c r="C972" s="44">
        <v>339.58876339180148</v>
      </c>
      <c r="D972" s="44">
        <v>336.93633120339342</v>
      </c>
      <c r="E972" s="44">
        <v>339.52100052567425</v>
      </c>
      <c r="F972" s="44">
        <v>3322729.2891848423</v>
      </c>
      <c r="G972" s="44" t="s">
        <v>794</v>
      </c>
      <c r="H972" s="25">
        <f t="shared" si="32"/>
        <v>-5.9019758788810828E-3</v>
      </c>
      <c r="J972" s="44">
        <v>268.62</v>
      </c>
      <c r="K972" s="44">
        <v>271.87</v>
      </c>
      <c r="L972" s="44">
        <v>266.51</v>
      </c>
      <c r="M972" s="44">
        <v>267.69</v>
      </c>
      <c r="N972" s="44">
        <v>1803880</v>
      </c>
      <c r="O972" s="44" t="s">
        <v>794</v>
      </c>
      <c r="P972" s="25">
        <f t="shared" si="31"/>
        <v>3.474167880757717E-3</v>
      </c>
    </row>
    <row r="973" spans="2:16">
      <c r="B973" s="44">
        <v>341.24411340719479</v>
      </c>
      <c r="C973" s="44">
        <v>343.23198548708376</v>
      </c>
      <c r="D973" s="44">
        <v>338.03989788032231</v>
      </c>
      <c r="E973" s="44">
        <v>340.84721661987828</v>
      </c>
      <c r="F973" s="44">
        <v>3222061.0266117426</v>
      </c>
      <c r="G973" s="44" t="s">
        <v>795</v>
      </c>
      <c r="H973" s="25">
        <f t="shared" si="32"/>
        <v>1.1644419199090539E-3</v>
      </c>
      <c r="J973" s="44">
        <v>270</v>
      </c>
      <c r="K973" s="44">
        <v>271.01</v>
      </c>
      <c r="L973" s="44">
        <v>266.83999999999997</v>
      </c>
      <c r="M973" s="44">
        <v>269.36</v>
      </c>
      <c r="N973" s="44">
        <v>1435393</v>
      </c>
      <c r="O973" s="44" t="s">
        <v>795</v>
      </c>
      <c r="P973" s="25">
        <f t="shared" si="31"/>
        <v>2.3760023760022175E-3</v>
      </c>
    </row>
    <row r="974" spans="2:16">
      <c r="B974" s="44">
        <v>338.80465022661514</v>
      </c>
      <c r="C974" s="44">
        <v>343.69548349139393</v>
      </c>
      <c r="D974" s="44">
        <v>336.09413558152664</v>
      </c>
      <c r="E974" s="44">
        <v>341.89366888107133</v>
      </c>
      <c r="F974" s="44">
        <v>5120996.2009066427</v>
      </c>
      <c r="G974" s="44" t="s">
        <v>796</v>
      </c>
      <c r="H974" s="25">
        <f t="shared" si="32"/>
        <v>-9.0350273655717128E-3</v>
      </c>
      <c r="J974" s="44">
        <v>265.63</v>
      </c>
      <c r="K974" s="44">
        <v>270.89</v>
      </c>
      <c r="L974" s="44">
        <v>263.67</v>
      </c>
      <c r="M974" s="44">
        <v>269.58999999999997</v>
      </c>
      <c r="N974" s="44">
        <v>1391916</v>
      </c>
      <c r="O974" s="44" t="s">
        <v>796</v>
      </c>
      <c r="P974" s="25">
        <f t="shared" si="31"/>
        <v>-1.4688972142883561E-2</v>
      </c>
    </row>
    <row r="975" spans="2:16">
      <c r="B975" s="44">
        <v>340.11150550192565</v>
      </c>
      <c r="C975" s="44">
        <v>340.25671164362683</v>
      </c>
      <c r="D975" s="44">
        <v>336.6493070632975</v>
      </c>
      <c r="E975" s="44">
        <v>338.61104203768025</v>
      </c>
      <c r="F975" s="44">
        <v>5501262.1411286136</v>
      </c>
      <c r="G975" s="44" t="s">
        <v>797</v>
      </c>
      <c r="H975" s="25">
        <f t="shared" si="32"/>
        <v>4.4312301666713516E-3</v>
      </c>
      <c r="J975" s="44">
        <v>265.35000000000002</v>
      </c>
      <c r="K975" s="44">
        <v>265.47000000000003</v>
      </c>
      <c r="L975" s="44">
        <v>261.43</v>
      </c>
      <c r="M975" s="44">
        <v>265.31</v>
      </c>
      <c r="N975" s="44">
        <v>871344</v>
      </c>
      <c r="O975" s="44" t="s">
        <v>797</v>
      </c>
      <c r="P975" s="25">
        <f t="shared" si="31"/>
        <v>1.5076702725114188E-4</v>
      </c>
    </row>
    <row r="976" spans="2:16">
      <c r="B976" s="44">
        <v>341.0505052182599</v>
      </c>
      <c r="C976" s="44">
        <v>341.83945858816958</v>
      </c>
      <c r="D976" s="44">
        <v>337.33322799070999</v>
      </c>
      <c r="E976" s="44">
        <v>337.75916600636674</v>
      </c>
      <c r="F976" s="44">
        <v>4221489.8269352159</v>
      </c>
      <c r="G976" s="44" t="s">
        <v>798</v>
      </c>
      <c r="H976" s="25">
        <f t="shared" si="32"/>
        <v>9.7446332865207541E-3</v>
      </c>
      <c r="J976" s="44">
        <v>267.79000000000002</v>
      </c>
      <c r="K976" s="44">
        <v>269.8279</v>
      </c>
      <c r="L976" s="44">
        <v>261.85000000000002</v>
      </c>
      <c r="M976" s="44">
        <v>263.24</v>
      </c>
      <c r="N976" s="44">
        <v>814875</v>
      </c>
      <c r="O976" s="44" t="s">
        <v>798</v>
      </c>
      <c r="P976" s="25">
        <f t="shared" si="31"/>
        <v>1.728460720255276E-2</v>
      </c>
    </row>
    <row r="977" spans="2:16">
      <c r="B977" s="44">
        <v>335.10673381795874</v>
      </c>
      <c r="C977" s="44">
        <v>340.9440207143457</v>
      </c>
      <c r="D977" s="44">
        <v>334.84536276289657</v>
      </c>
      <c r="E977" s="44">
        <v>339.22090783282516</v>
      </c>
      <c r="F977" s="44">
        <v>4612040.4561001211</v>
      </c>
      <c r="G977" s="44" t="s">
        <v>799</v>
      </c>
      <c r="H977" s="25">
        <f t="shared" si="32"/>
        <v>-1.2128303179042121E-2</v>
      </c>
      <c r="J977" s="44">
        <v>261.64999999999998</v>
      </c>
      <c r="K977" s="44">
        <v>267.51</v>
      </c>
      <c r="L977" s="44">
        <v>261.54000000000002</v>
      </c>
      <c r="M977" s="44">
        <v>262.94</v>
      </c>
      <c r="N977" s="44">
        <v>855775</v>
      </c>
      <c r="O977" s="44" t="s">
        <v>799</v>
      </c>
      <c r="P977" s="25">
        <f t="shared" si="31"/>
        <v>-4.9060622195178372E-3</v>
      </c>
    </row>
    <row r="978" spans="2:16">
      <c r="B978" s="44">
        <v>339.26930988005893</v>
      </c>
      <c r="C978" s="44">
        <v>340.78913416319784</v>
      </c>
      <c r="D978" s="44">
        <v>337.7010835496863</v>
      </c>
      <c r="E978" s="44">
        <v>340.51808269868894</v>
      </c>
      <c r="F978" s="44">
        <v>4445282.0138172004</v>
      </c>
      <c r="G978" s="44" t="s">
        <v>800</v>
      </c>
      <c r="H978" s="25">
        <f t="shared" si="32"/>
        <v>-3.6672731407776382E-3</v>
      </c>
      <c r="J978" s="44">
        <v>263.97000000000003</v>
      </c>
      <c r="K978" s="44">
        <v>265.495</v>
      </c>
      <c r="L978" s="44">
        <v>260.58999999999997</v>
      </c>
      <c r="M978" s="44">
        <v>262.76</v>
      </c>
      <c r="N978" s="44">
        <v>957352</v>
      </c>
      <c r="O978" s="44" t="s">
        <v>800</v>
      </c>
      <c r="P978" s="25">
        <f t="shared" si="31"/>
        <v>4.6049627036079954E-3</v>
      </c>
    </row>
    <row r="979" spans="2:16">
      <c r="B979" s="44">
        <v>340.62456720260315</v>
      </c>
      <c r="C979" s="44">
        <v>340.69997759219331</v>
      </c>
      <c r="D979" s="44">
        <v>336.24902213267461</v>
      </c>
      <c r="E979" s="44">
        <v>337.7785268252602</v>
      </c>
      <c r="F979" s="44">
        <v>4722921.0966251921</v>
      </c>
      <c r="G979" s="44" t="s">
        <v>801</v>
      </c>
      <c r="H979" s="25">
        <f t="shared" si="32"/>
        <v>8.4257587481730845E-3</v>
      </c>
      <c r="J979" s="44">
        <v>262.66000000000003</v>
      </c>
      <c r="K979" s="44">
        <v>263.99</v>
      </c>
      <c r="L979" s="44">
        <v>260.51</v>
      </c>
      <c r="M979" s="44">
        <v>261.92</v>
      </c>
      <c r="N979" s="44">
        <v>1042038</v>
      </c>
      <c r="O979" s="44" t="s">
        <v>801</v>
      </c>
      <c r="P979" s="25">
        <f t="shared" si="31"/>
        <v>2.8252901649359341E-3</v>
      </c>
    </row>
    <row r="980" spans="2:16">
      <c r="B980" s="44">
        <v>338.72720695104124</v>
      </c>
      <c r="C980" s="44">
        <v>340.99242276157946</v>
      </c>
      <c r="D980" s="44">
        <v>333.33521888920438</v>
      </c>
      <c r="E980" s="44">
        <v>340.73105170651735</v>
      </c>
      <c r="F980" s="44">
        <v>6675578.1721331533</v>
      </c>
      <c r="G980" s="44" t="s">
        <v>802</v>
      </c>
      <c r="H980" s="25">
        <f t="shared" si="32"/>
        <v>-5.8810159668162276E-3</v>
      </c>
      <c r="J980" s="44">
        <v>263.61</v>
      </c>
      <c r="K980" s="44">
        <v>264.29000000000002</v>
      </c>
      <c r="L980" s="44">
        <v>259</v>
      </c>
      <c r="M980" s="44">
        <v>263.48</v>
      </c>
      <c r="N980" s="44">
        <v>2015521</v>
      </c>
      <c r="O980" s="44" t="s">
        <v>802</v>
      </c>
      <c r="P980" s="25">
        <f t="shared" si="31"/>
        <v>4.9339608319409756E-4</v>
      </c>
    </row>
    <row r="981" spans="2:16">
      <c r="B981" s="44">
        <v>343.55773126496672</v>
      </c>
      <c r="C981" s="44">
        <v>344.57572312238642</v>
      </c>
      <c r="D981" s="44">
        <v>340.46000024200845</v>
      </c>
      <c r="E981" s="44">
        <v>340.9440207143457</v>
      </c>
      <c r="F981" s="44">
        <v>3958973.0383654321</v>
      </c>
      <c r="G981" s="44" t="s">
        <v>803</v>
      </c>
      <c r="H981" s="25">
        <f t="shared" si="32"/>
        <v>7.6660988074956915E-3</v>
      </c>
      <c r="J981" s="44">
        <v>266.16000000000003</v>
      </c>
      <c r="K981" s="44">
        <v>267.27</v>
      </c>
      <c r="L981" s="44">
        <v>262.53500000000003</v>
      </c>
      <c r="M981" s="44">
        <v>263.69</v>
      </c>
      <c r="N981" s="44">
        <v>1625952</v>
      </c>
      <c r="O981" s="44" t="s">
        <v>803</v>
      </c>
      <c r="P981" s="25">
        <f t="shared" si="31"/>
        <v>9.3670598050743514E-3</v>
      </c>
    </row>
    <row r="982" spans="2:16">
      <c r="B982" s="44">
        <v>338.49487712431932</v>
      </c>
      <c r="C982" s="44">
        <v>339.94209833660767</v>
      </c>
      <c r="D982" s="44">
        <v>336.11156031853085</v>
      </c>
      <c r="E982" s="44">
        <v>337.31386717181647</v>
      </c>
      <c r="F982" s="44">
        <v>5235532.6785318591</v>
      </c>
      <c r="G982" s="44" t="s">
        <v>804</v>
      </c>
      <c r="H982" s="25">
        <f t="shared" si="32"/>
        <v>3.5012196871861967E-3</v>
      </c>
      <c r="J982" s="44">
        <v>261.8</v>
      </c>
      <c r="K982" s="44">
        <v>262.11</v>
      </c>
      <c r="L982" s="44">
        <v>257.76</v>
      </c>
      <c r="M982" s="44">
        <v>261.10000000000002</v>
      </c>
      <c r="N982" s="44">
        <v>2056631</v>
      </c>
      <c r="O982" s="44" t="s">
        <v>804</v>
      </c>
      <c r="P982" s="25">
        <f t="shared" si="31"/>
        <v>2.6809651474530849E-3</v>
      </c>
    </row>
    <row r="983" spans="2:16">
      <c r="B983" s="44">
        <v>337.98016975403596</v>
      </c>
      <c r="C983" s="44">
        <v>341.38107052434395</v>
      </c>
      <c r="D983" s="44">
        <v>336.47722210483471</v>
      </c>
      <c r="E983" s="44">
        <v>341.17875064848994</v>
      </c>
      <c r="F983" s="44">
        <v>5748731.7303378517</v>
      </c>
      <c r="G983" s="44" t="s">
        <v>805</v>
      </c>
      <c r="H983" s="25">
        <f t="shared" si="32"/>
        <v>-9.3750882444300077E-3</v>
      </c>
      <c r="J983" s="44">
        <v>261.01</v>
      </c>
      <c r="K983" s="44">
        <v>264.99</v>
      </c>
      <c r="L983" s="44">
        <v>260.39</v>
      </c>
      <c r="M983" s="44">
        <v>264.99</v>
      </c>
      <c r="N983" s="44">
        <v>2004210</v>
      </c>
      <c r="O983" s="44" t="s">
        <v>805</v>
      </c>
      <c r="P983" s="25">
        <f t="shared" si="31"/>
        <v>-1.5019434695648926E-2</v>
      </c>
    </row>
    <row r="984" spans="2:16">
      <c r="B984" s="44">
        <v>340.91862509382048</v>
      </c>
      <c r="C984" s="44">
        <v>343.7800061951844</v>
      </c>
      <c r="D984" s="44">
        <v>338.92432917468807</v>
      </c>
      <c r="E984" s="44">
        <v>342.64219775050066</v>
      </c>
      <c r="F984" s="44">
        <v>4705150.8705297643</v>
      </c>
      <c r="G984" s="44" t="s">
        <v>806</v>
      </c>
      <c r="H984" s="25">
        <f t="shared" si="32"/>
        <v>-5.0302404899212894E-3</v>
      </c>
      <c r="J984" s="44">
        <v>264.68</v>
      </c>
      <c r="K984" s="44">
        <v>265.77999999999997</v>
      </c>
      <c r="L984" s="44">
        <v>261.06</v>
      </c>
      <c r="M984" s="44">
        <v>264.70999999999998</v>
      </c>
      <c r="N984" s="44">
        <v>5296881</v>
      </c>
      <c r="O984" s="44" t="s">
        <v>806</v>
      </c>
      <c r="P984" s="25">
        <f t="shared" si="31"/>
        <v>-1.1333157039772335E-4</v>
      </c>
    </row>
    <row r="985" spans="2:16">
      <c r="B985" s="44">
        <v>345.03246256951883</v>
      </c>
      <c r="C985" s="44">
        <v>349.95557954863324</v>
      </c>
      <c r="D985" s="44">
        <v>343.42353784248922</v>
      </c>
      <c r="E985" s="44">
        <v>349.2137400038352</v>
      </c>
      <c r="F985" s="44">
        <v>5321365.0683377795</v>
      </c>
      <c r="G985" s="44" t="s">
        <v>807</v>
      </c>
      <c r="H985" s="25">
        <f t="shared" si="32"/>
        <v>-1.1973404695561074E-2</v>
      </c>
      <c r="J985" s="44">
        <v>267.3</v>
      </c>
      <c r="K985" s="44">
        <v>275.27999999999997</v>
      </c>
      <c r="L985" s="44">
        <v>266.33999999999997</v>
      </c>
      <c r="M985" s="44">
        <v>275.08</v>
      </c>
      <c r="N985" s="44">
        <v>2590388</v>
      </c>
      <c r="O985" s="44" t="s">
        <v>807</v>
      </c>
      <c r="P985" s="25">
        <f t="shared" si="31"/>
        <v>-2.8282681401773924E-2</v>
      </c>
    </row>
    <row r="986" spans="2:16">
      <c r="B986" s="44">
        <v>353.73221723124158</v>
      </c>
      <c r="C986" s="44">
        <v>359.16595103989226</v>
      </c>
      <c r="D986" s="44">
        <v>350.92864180869304</v>
      </c>
      <c r="E986" s="44">
        <v>355.60126751294058</v>
      </c>
      <c r="F986" s="44">
        <v>4885798.5199301215</v>
      </c>
      <c r="G986" s="44" t="s">
        <v>808</v>
      </c>
      <c r="H986" s="25">
        <f t="shared" si="32"/>
        <v>-5.2560281766458328E-3</v>
      </c>
      <c r="J986" s="44">
        <v>280.64999999999998</v>
      </c>
      <c r="K986" s="44">
        <v>285.08999999999997</v>
      </c>
      <c r="L986" s="44">
        <v>277.39</v>
      </c>
      <c r="M986" s="44">
        <v>280.75</v>
      </c>
      <c r="N986" s="44">
        <v>2945123</v>
      </c>
      <c r="O986" s="44" t="s">
        <v>808</v>
      </c>
      <c r="P986" s="25">
        <f t="shared" si="31"/>
        <v>-3.561887800535013E-4</v>
      </c>
    </row>
    <row r="987" spans="2:16">
      <c r="B987" s="44">
        <v>355.88066162721515</v>
      </c>
      <c r="C987" s="44">
        <v>363.39539987322149</v>
      </c>
      <c r="D987" s="44">
        <v>353.38634658632918</v>
      </c>
      <c r="E987" s="44">
        <v>363.31832563480089</v>
      </c>
      <c r="F987" s="44">
        <v>6395729.7548643742</v>
      </c>
      <c r="G987" s="44" t="s">
        <v>809</v>
      </c>
      <c r="H987" s="25">
        <f t="shared" si="32"/>
        <v>-2.0471480469889336E-2</v>
      </c>
      <c r="J987" s="44">
        <v>281.74</v>
      </c>
      <c r="K987" s="44">
        <v>285.05500000000001</v>
      </c>
      <c r="L987" s="44">
        <v>276.88</v>
      </c>
      <c r="M987" s="44">
        <v>284.92</v>
      </c>
      <c r="N987" s="44">
        <v>2938230</v>
      </c>
      <c r="O987" s="44" t="s">
        <v>809</v>
      </c>
      <c r="P987" s="25">
        <f t="shared" si="31"/>
        <v>-1.1161027656886202E-2</v>
      </c>
    </row>
    <row r="988" spans="2:16">
      <c r="B988" s="44">
        <v>353.2697718007181</v>
      </c>
      <c r="C988" s="44">
        <v>353.2697718007181</v>
      </c>
      <c r="D988" s="44">
        <v>348.35628910140622</v>
      </c>
      <c r="E988" s="44">
        <v>349.03068868758629</v>
      </c>
      <c r="F988" s="44">
        <v>3058055.2572423751</v>
      </c>
      <c r="G988" s="44" t="s">
        <v>810</v>
      </c>
      <c r="H988" s="25">
        <f t="shared" si="32"/>
        <v>1.2145301976371981E-2</v>
      </c>
      <c r="J988" s="44">
        <v>273.83999999999997</v>
      </c>
      <c r="K988" s="44">
        <v>274.06</v>
      </c>
      <c r="L988" s="44">
        <v>270</v>
      </c>
      <c r="M988" s="44">
        <v>272.22000000000003</v>
      </c>
      <c r="N988" s="44">
        <v>1887689</v>
      </c>
      <c r="O988" s="44" t="s">
        <v>810</v>
      </c>
      <c r="P988" s="25">
        <f t="shared" si="31"/>
        <v>5.9510689883179868E-3</v>
      </c>
    </row>
    <row r="989" spans="2:16">
      <c r="B989" s="44">
        <v>348.29848342259078</v>
      </c>
      <c r="C989" s="44">
        <v>352.07531379079518</v>
      </c>
      <c r="D989" s="44">
        <v>348.1253554145386</v>
      </c>
      <c r="E989" s="44">
        <v>349.72435683337147</v>
      </c>
      <c r="F989" s="44">
        <v>4433496.9375288524</v>
      </c>
      <c r="G989" s="44" t="s">
        <v>811</v>
      </c>
      <c r="H989" s="25">
        <f t="shared" si="32"/>
        <v>-4.077134986225972E-3</v>
      </c>
      <c r="J989" s="44">
        <v>270.60000000000002</v>
      </c>
      <c r="K989" s="44">
        <v>273.79000000000002</v>
      </c>
      <c r="L989" s="44">
        <v>269.94</v>
      </c>
      <c r="M989" s="44">
        <v>270.49</v>
      </c>
      <c r="N989" s="44">
        <v>2102911</v>
      </c>
      <c r="O989" s="44" t="s">
        <v>811</v>
      </c>
      <c r="P989" s="25">
        <f t="shared" si="31"/>
        <v>4.0666937779598733E-4</v>
      </c>
    </row>
    <row r="990" spans="2:16">
      <c r="B990" s="44">
        <v>350.86120185007502</v>
      </c>
      <c r="C990" s="44">
        <v>351.79572699092449</v>
      </c>
      <c r="D990" s="44">
        <v>348.37555766101138</v>
      </c>
      <c r="E990" s="44">
        <v>349.84960247080494</v>
      </c>
      <c r="F990" s="44">
        <v>3741344.5258644498</v>
      </c>
      <c r="G990" s="44" t="s">
        <v>812</v>
      </c>
      <c r="H990" s="25">
        <f t="shared" si="32"/>
        <v>2.8915264505824378E-3</v>
      </c>
      <c r="J990" s="44">
        <v>272.02</v>
      </c>
      <c r="K990" s="44">
        <v>274.2</v>
      </c>
      <c r="L990" s="44">
        <v>268.63</v>
      </c>
      <c r="M990" s="44">
        <v>270.70999999999998</v>
      </c>
      <c r="N990" s="44">
        <v>1431646</v>
      </c>
      <c r="O990" s="44" t="s">
        <v>812</v>
      </c>
      <c r="P990" s="25">
        <f t="shared" si="31"/>
        <v>4.8391267407927874E-3</v>
      </c>
    </row>
    <row r="991" spans="2:16">
      <c r="B991" s="44">
        <v>348.11543210634193</v>
      </c>
      <c r="C991" s="44">
        <v>350.31204790132841</v>
      </c>
      <c r="D991" s="44">
        <v>347.1327355664796</v>
      </c>
      <c r="E991" s="44">
        <v>347.84567227186994</v>
      </c>
      <c r="F991" s="44">
        <v>3464687.6241946043</v>
      </c>
      <c r="G991" s="44" t="s">
        <v>813</v>
      </c>
      <c r="H991" s="25">
        <f t="shared" si="32"/>
        <v>7.7551585652946287E-4</v>
      </c>
      <c r="J991" s="44">
        <v>267.95999999999998</v>
      </c>
      <c r="K991" s="44">
        <v>268.6003</v>
      </c>
      <c r="L991" s="44">
        <v>265.14</v>
      </c>
      <c r="M991" s="44">
        <v>266.19</v>
      </c>
      <c r="N991" s="44">
        <v>1195560</v>
      </c>
      <c r="O991" s="44" t="s">
        <v>813</v>
      </c>
      <c r="P991" s="25">
        <f t="shared" si="31"/>
        <v>6.6493857770764109E-3</v>
      </c>
    </row>
    <row r="992" spans="2:16">
      <c r="B992" s="44">
        <v>348.78983169252194</v>
      </c>
      <c r="C992" s="44">
        <v>354.1657598223573</v>
      </c>
      <c r="D992" s="44">
        <v>346.76759636196209</v>
      </c>
      <c r="E992" s="44">
        <v>353.6647772726235</v>
      </c>
      <c r="F992" s="44">
        <v>4059504.2703200369</v>
      </c>
      <c r="G992" s="44" t="s">
        <v>814</v>
      </c>
      <c r="H992" s="25">
        <f t="shared" si="32"/>
        <v>-1.3784085646571742E-2</v>
      </c>
      <c r="J992" s="44">
        <v>266.31</v>
      </c>
      <c r="K992" s="44">
        <v>269.42</v>
      </c>
      <c r="L992" s="44">
        <v>264.505</v>
      </c>
      <c r="M992" s="44">
        <v>269</v>
      </c>
      <c r="N992" s="44">
        <v>1477842</v>
      </c>
      <c r="O992" s="44" t="s">
        <v>814</v>
      </c>
      <c r="P992" s="25">
        <f t="shared" si="31"/>
        <v>-1.0000000000000009E-2</v>
      </c>
    </row>
    <row r="993" spans="2:16">
      <c r="B993" s="44">
        <v>353.90563426768784</v>
      </c>
      <c r="C993" s="44">
        <v>358.57825997193538</v>
      </c>
      <c r="D993" s="44">
        <v>352.60500649434061</v>
      </c>
      <c r="E993" s="44">
        <v>357.70154050990129</v>
      </c>
      <c r="F993" s="44">
        <v>3847711.5840151175</v>
      </c>
      <c r="G993" s="44" t="s">
        <v>815</v>
      </c>
      <c r="H993" s="25">
        <f t="shared" si="32"/>
        <v>-1.061193708252528E-2</v>
      </c>
      <c r="J993" s="44">
        <v>269.72000000000003</v>
      </c>
      <c r="K993" s="44">
        <v>271.25</v>
      </c>
      <c r="L993" s="44">
        <v>267.22000000000003</v>
      </c>
      <c r="M993" s="44">
        <v>269.14</v>
      </c>
      <c r="N993" s="44">
        <v>1505031</v>
      </c>
      <c r="O993" s="44" t="s">
        <v>815</v>
      </c>
      <c r="P993" s="25">
        <f t="shared" si="31"/>
        <v>2.1550122612767897E-3</v>
      </c>
    </row>
    <row r="994" spans="2:16">
      <c r="B994" s="44">
        <v>360.32206461620092</v>
      </c>
      <c r="C994" s="44">
        <v>361.16988123882732</v>
      </c>
      <c r="D994" s="44">
        <v>356.1407871818846</v>
      </c>
      <c r="E994" s="44">
        <v>356.1407871818846</v>
      </c>
      <c r="F994" s="44">
        <v>3732488.6485442561</v>
      </c>
      <c r="G994" s="44" t="s">
        <v>816</v>
      </c>
      <c r="H994" s="25">
        <f t="shared" si="32"/>
        <v>1.1740518314126369E-2</v>
      </c>
      <c r="J994" s="44">
        <v>272.25</v>
      </c>
      <c r="K994" s="44">
        <v>272.95999999999998</v>
      </c>
      <c r="L994" s="44">
        <v>267.42700000000002</v>
      </c>
      <c r="M994" s="44">
        <v>268.14999999999998</v>
      </c>
      <c r="N994" s="44">
        <v>1629271</v>
      </c>
      <c r="O994" s="44" t="s">
        <v>816</v>
      </c>
      <c r="P994" s="25">
        <f t="shared" si="31"/>
        <v>1.5289949655043822E-2</v>
      </c>
    </row>
    <row r="995" spans="2:16">
      <c r="B995" s="44">
        <v>360.84231572553983</v>
      </c>
      <c r="C995" s="44">
        <v>363.21234855697259</v>
      </c>
      <c r="D995" s="44">
        <v>358.44338005469939</v>
      </c>
      <c r="E995" s="44">
        <v>362.12367493928195</v>
      </c>
      <c r="F995" s="44">
        <v>4783572.9233954372</v>
      </c>
      <c r="G995" s="44" t="s">
        <v>817</v>
      </c>
      <c r="H995" s="25">
        <f t="shared" si="32"/>
        <v>-3.5384574453933837E-3</v>
      </c>
      <c r="J995" s="44">
        <v>274.49</v>
      </c>
      <c r="K995" s="44">
        <v>275.83499999999998</v>
      </c>
      <c r="L995" s="44">
        <v>269.89999999999998</v>
      </c>
      <c r="M995" s="44">
        <v>270.39</v>
      </c>
      <c r="N995" s="44">
        <v>1870418</v>
      </c>
      <c r="O995" s="44" t="s">
        <v>817</v>
      </c>
      <c r="P995" s="25">
        <f t="shared" si="31"/>
        <v>1.5163282665779043E-2</v>
      </c>
    </row>
    <row r="996" spans="2:16">
      <c r="B996" s="44">
        <v>360.79414432652698</v>
      </c>
      <c r="C996" s="44">
        <v>360.89048712455269</v>
      </c>
      <c r="D996" s="44">
        <v>348.42372906002424</v>
      </c>
      <c r="E996" s="44">
        <v>350.15789942448725</v>
      </c>
      <c r="F996" s="44">
        <v>4929099.109963703</v>
      </c>
      <c r="G996" s="44" t="s">
        <v>818</v>
      </c>
      <c r="H996" s="25">
        <f t="shared" si="32"/>
        <v>3.0375567478332588E-2</v>
      </c>
      <c r="J996" s="44">
        <v>270.39</v>
      </c>
      <c r="K996" s="44">
        <v>270.48</v>
      </c>
      <c r="L996" s="44">
        <v>260.48</v>
      </c>
      <c r="M996" s="44">
        <v>260.48</v>
      </c>
      <c r="N996" s="44">
        <v>3377235</v>
      </c>
      <c r="O996" s="44" t="s">
        <v>818</v>
      </c>
      <c r="P996" s="25">
        <f t="shared" si="31"/>
        <v>3.8045147420147307E-2</v>
      </c>
    </row>
    <row r="997" spans="2:16">
      <c r="B997" s="44">
        <v>350.02301950725126</v>
      </c>
      <c r="C997" s="44">
        <v>351.82462983033224</v>
      </c>
      <c r="D997" s="44">
        <v>348.25994630338056</v>
      </c>
      <c r="E997" s="44">
        <v>350.62034485501073</v>
      </c>
      <c r="F997" s="44">
        <v>2602965.7134625264</v>
      </c>
      <c r="G997" s="44" t="s">
        <v>819</v>
      </c>
      <c r="H997" s="25">
        <f t="shared" si="32"/>
        <v>-1.7036243233587989E-3</v>
      </c>
      <c r="J997" s="44">
        <v>258.8</v>
      </c>
      <c r="K997" s="44">
        <v>262.99</v>
      </c>
      <c r="L997" s="44">
        <v>257.2</v>
      </c>
      <c r="M997" s="44">
        <v>262.04000000000002</v>
      </c>
      <c r="N997" s="44">
        <v>1497722</v>
      </c>
      <c r="O997" s="44" t="s">
        <v>819</v>
      </c>
      <c r="P997" s="25">
        <f t="shared" si="31"/>
        <v>-1.2364524500076413E-2</v>
      </c>
    </row>
    <row r="998" spans="2:16">
      <c r="B998" s="44">
        <v>350.63961341461584</v>
      </c>
      <c r="C998" s="44">
        <v>354.90759936715534</v>
      </c>
      <c r="D998" s="44">
        <v>349.86887103041005</v>
      </c>
      <c r="E998" s="44">
        <v>353.44318883716437</v>
      </c>
      <c r="F998" s="44">
        <v>3692025.8419838818</v>
      </c>
      <c r="G998" s="44" t="s">
        <v>820</v>
      </c>
      <c r="H998" s="25">
        <f t="shared" si="32"/>
        <v>-7.932181213542E-3</v>
      </c>
      <c r="J998" s="44">
        <v>262.64</v>
      </c>
      <c r="K998" s="44">
        <v>266.5</v>
      </c>
      <c r="L998" s="44">
        <v>261.82</v>
      </c>
      <c r="M998" s="44">
        <v>264.54000000000002</v>
      </c>
      <c r="N998" s="44">
        <v>1408335</v>
      </c>
      <c r="O998" s="44" t="s">
        <v>820</v>
      </c>
      <c r="P998" s="25">
        <f t="shared" si="31"/>
        <v>-7.182278672412612E-3</v>
      </c>
    </row>
    <row r="999" spans="2:16">
      <c r="B999" s="44">
        <v>356.2756670991206</v>
      </c>
      <c r="C999" s="44">
        <v>356.79591820845945</v>
      </c>
      <c r="D999" s="44">
        <v>355.56273039373025</v>
      </c>
      <c r="E999" s="44">
        <v>355.88066162721515</v>
      </c>
      <c r="F999" s="44">
        <v>1477478.3680456949</v>
      </c>
      <c r="G999" s="44" t="s">
        <v>821</v>
      </c>
      <c r="H999" s="25">
        <f t="shared" si="32"/>
        <v>1.109938005901645E-3</v>
      </c>
      <c r="J999" s="44">
        <v>265.13</v>
      </c>
      <c r="K999" s="44">
        <v>265.35000000000002</v>
      </c>
      <c r="L999" s="44">
        <v>261.41000000000003</v>
      </c>
      <c r="M999" s="44">
        <v>263.69</v>
      </c>
      <c r="N999" s="44">
        <v>788105</v>
      </c>
      <c r="O999" s="44" t="s">
        <v>821</v>
      </c>
      <c r="P999" s="25">
        <f t="shared" si="31"/>
        <v>5.4609579430391353E-3</v>
      </c>
    </row>
    <row r="1000" spans="2:16">
      <c r="B1000" s="44">
        <v>356.31420421833087</v>
      </c>
      <c r="C1000" s="44">
        <v>356.81509042526659</v>
      </c>
      <c r="D1000" s="44">
        <v>353.59974588395613</v>
      </c>
      <c r="E1000" s="44">
        <v>353.78038863025438</v>
      </c>
      <c r="F1000" s="44">
        <v>2689208.7972245491</v>
      </c>
      <c r="G1000" s="44" t="s">
        <v>822</v>
      </c>
      <c r="H1000" s="25">
        <f t="shared" si="32"/>
        <v>7.1621143215054861E-3</v>
      </c>
      <c r="J1000" s="44">
        <v>264.45</v>
      </c>
      <c r="K1000" s="44">
        <v>267.11</v>
      </c>
      <c r="L1000" s="44">
        <v>262.82499999999999</v>
      </c>
      <c r="M1000" s="44">
        <v>264.49</v>
      </c>
      <c r="N1000" s="44">
        <v>1532224</v>
      </c>
      <c r="O1000" s="44" t="s">
        <v>822</v>
      </c>
      <c r="P1000" s="25">
        <f t="shared" si="31"/>
        <v>-1.5123445120801549E-4</v>
      </c>
    </row>
    <row r="1001" spans="2:16">
      <c r="B1001" s="44">
        <v>354.09831986373928</v>
      </c>
      <c r="C1001" s="44">
        <v>354.23319978097533</v>
      </c>
      <c r="D1001" s="44">
        <v>349.92667670922549</v>
      </c>
      <c r="E1001" s="44">
        <v>351.17913308355992</v>
      </c>
      <c r="F1001" s="44">
        <v>2403878.6992481472</v>
      </c>
      <c r="G1001" s="44" t="s">
        <v>823</v>
      </c>
      <c r="H1001" s="25">
        <f t="shared" si="32"/>
        <v>8.3125291487200492E-3</v>
      </c>
      <c r="J1001" s="44">
        <v>262.89999999999998</v>
      </c>
      <c r="K1001" s="44">
        <v>263.75</v>
      </c>
      <c r="L1001" s="44">
        <v>258.48</v>
      </c>
      <c r="M1001" s="44">
        <v>258.99</v>
      </c>
      <c r="N1001" s="44">
        <v>1369111</v>
      </c>
      <c r="O1001" s="44" t="s">
        <v>823</v>
      </c>
      <c r="P1001" s="25">
        <f t="shared" si="31"/>
        <v>1.5097107996447701E-2</v>
      </c>
    </row>
    <row r="1002" spans="2:16">
      <c r="B1002" s="44">
        <v>349.44496271909691</v>
      </c>
      <c r="C1002" s="44">
        <v>350.4359447395895</v>
      </c>
      <c r="D1002" s="44">
        <v>347.67225523542362</v>
      </c>
      <c r="E1002" s="44">
        <v>349.50276839791235</v>
      </c>
      <c r="F1002" s="44">
        <v>2488899.0657711653</v>
      </c>
      <c r="G1002" s="44" t="s">
        <v>824</v>
      </c>
      <c r="H1002" s="25">
        <f t="shared" si="32"/>
        <v>-1.6539405132731666E-4</v>
      </c>
      <c r="J1002" s="44">
        <v>260.35000000000002</v>
      </c>
      <c r="K1002" s="44">
        <v>264.81</v>
      </c>
      <c r="L1002" s="44">
        <v>259.64</v>
      </c>
      <c r="M1002" s="44">
        <v>260.95999999999998</v>
      </c>
      <c r="N1002" s="44">
        <v>1805241</v>
      </c>
      <c r="O1002" s="44" t="s">
        <v>824</v>
      </c>
      <c r="P1002" s="25">
        <f t="shared" si="31"/>
        <v>-2.3375229920292728E-3</v>
      </c>
    </row>
    <row r="1003" spans="2:16">
      <c r="B1003" s="44">
        <v>350.67815053382617</v>
      </c>
      <c r="C1003" s="44">
        <v>352.21963530223769</v>
      </c>
      <c r="D1003" s="44">
        <v>348.01908930831621</v>
      </c>
      <c r="E1003" s="44">
        <v>352.09438966480423</v>
      </c>
      <c r="F1003" s="44">
        <v>2672093.8697593976</v>
      </c>
      <c r="G1003" s="44" t="s">
        <v>825</v>
      </c>
      <c r="H1003" s="25">
        <f t="shared" si="32"/>
        <v>-4.0223280249547244E-3</v>
      </c>
      <c r="J1003" s="44">
        <v>262.11</v>
      </c>
      <c r="K1003" s="44">
        <v>266.60000000000002</v>
      </c>
      <c r="L1003" s="44">
        <v>260.05</v>
      </c>
      <c r="M1003" s="44">
        <v>264.44</v>
      </c>
      <c r="N1003" s="44">
        <v>1579073</v>
      </c>
      <c r="O1003" s="44" t="s">
        <v>825</v>
      </c>
      <c r="P1003" s="25">
        <f t="shared" si="31"/>
        <v>-8.8110724549992359E-3</v>
      </c>
    </row>
    <row r="1004" spans="2:16">
      <c r="B1004" s="44">
        <v>349.13666576541459</v>
      </c>
      <c r="C1004" s="44">
        <v>349.71472255356895</v>
      </c>
      <c r="D1004" s="44">
        <v>345.45155374093071</v>
      </c>
      <c r="E1004" s="44">
        <v>345.67795931629115</v>
      </c>
      <c r="F1004" s="44">
        <v>3409101.7359939087</v>
      </c>
      <c r="G1004" s="44" t="s">
        <v>826</v>
      </c>
      <c r="H1004" s="25">
        <f t="shared" si="32"/>
        <v>1.0005574136008999E-2</v>
      </c>
      <c r="J1004" s="44">
        <v>260.77</v>
      </c>
      <c r="K1004" s="44">
        <v>262</v>
      </c>
      <c r="L1004" s="44">
        <v>255.4</v>
      </c>
      <c r="M1004" s="44">
        <v>258.45999999999998</v>
      </c>
      <c r="N1004" s="44">
        <v>1981570</v>
      </c>
      <c r="O1004" s="44" t="s">
        <v>826</v>
      </c>
      <c r="P1004" s="25">
        <f t="shared" ref="P1004:P1067" si="33">J1004/M1004-1</f>
        <v>8.9375531997213375E-3</v>
      </c>
    </row>
    <row r="1005" spans="2:16">
      <c r="B1005" s="44">
        <v>350.14826514468467</v>
      </c>
      <c r="C1005" s="44">
        <v>352.15219534361967</v>
      </c>
      <c r="D1005" s="44">
        <v>349.57984263633296</v>
      </c>
      <c r="E1005" s="44">
        <v>351.36218439980877</v>
      </c>
      <c r="F1005" s="44">
        <v>2859708.3087252881</v>
      </c>
      <c r="G1005" s="44" t="s">
        <v>827</v>
      </c>
      <c r="H1005" s="25">
        <f t="shared" si="32"/>
        <v>-3.4548944337812193E-3</v>
      </c>
      <c r="J1005" s="44">
        <v>263.04000000000002</v>
      </c>
      <c r="K1005" s="44">
        <v>265.38</v>
      </c>
      <c r="L1005" s="44">
        <v>260.99</v>
      </c>
      <c r="M1005" s="44">
        <v>264.83999999999997</v>
      </c>
      <c r="N1005" s="44">
        <v>1619965</v>
      </c>
      <c r="O1005" s="44" t="s">
        <v>827</v>
      </c>
      <c r="P1005" s="25">
        <f t="shared" si="33"/>
        <v>-6.7965564114180754E-3</v>
      </c>
    </row>
    <row r="1006" spans="2:16">
      <c r="B1006" s="44">
        <v>352.8265949297998</v>
      </c>
      <c r="C1006" s="44">
        <v>356.21978827626572</v>
      </c>
      <c r="D1006" s="44">
        <v>349.32935136146602</v>
      </c>
      <c r="E1006" s="44">
        <v>355.1677249218248</v>
      </c>
      <c r="F1006" s="44">
        <v>4772333.8892155197</v>
      </c>
      <c r="G1006" s="44" t="s">
        <v>828</v>
      </c>
      <c r="H1006" s="25">
        <f t="shared" si="32"/>
        <v>-6.5916180659160162E-3</v>
      </c>
      <c r="J1006" s="44">
        <v>264.18</v>
      </c>
      <c r="K1006" s="44">
        <v>266.14</v>
      </c>
      <c r="L1006" s="44">
        <v>261.08999999999997</v>
      </c>
      <c r="M1006" s="44">
        <v>262.95999999999998</v>
      </c>
      <c r="N1006" s="44">
        <v>2068414</v>
      </c>
      <c r="O1006" s="44" t="s">
        <v>828</v>
      </c>
      <c r="P1006" s="25">
        <f t="shared" si="33"/>
        <v>4.6394888956495794E-3</v>
      </c>
    </row>
    <row r="1007" spans="2:16">
      <c r="B1007" s="44">
        <v>349.93631098902813</v>
      </c>
      <c r="C1007" s="44">
        <v>354.33917685880363</v>
      </c>
      <c r="D1007" s="44">
        <v>349.61837975554317</v>
      </c>
      <c r="E1007" s="44">
        <v>351.2369387623753</v>
      </c>
      <c r="F1007" s="44">
        <v>5474526.4909078442</v>
      </c>
      <c r="G1007" s="44" t="s">
        <v>829</v>
      </c>
      <c r="H1007" s="25">
        <f t="shared" si="32"/>
        <v>-3.7029925665851282E-3</v>
      </c>
      <c r="J1007" s="44">
        <v>259.44</v>
      </c>
      <c r="K1007" s="44">
        <v>263.08999999999997</v>
      </c>
      <c r="L1007" s="44">
        <v>257.83999999999997</v>
      </c>
      <c r="M1007" s="44">
        <v>262.19</v>
      </c>
      <c r="N1007" s="44">
        <v>2283689</v>
      </c>
      <c r="O1007" s="44" t="s">
        <v>829</v>
      </c>
      <c r="P1007" s="25">
        <f t="shared" si="33"/>
        <v>-1.0488576986155129E-2</v>
      </c>
    </row>
    <row r="1008" spans="2:16">
      <c r="B1008" s="44">
        <v>352.76878925098436</v>
      </c>
      <c r="C1008" s="44">
        <v>353.59733731400553</v>
      </c>
      <c r="D1008" s="44">
        <v>348.51043757824743</v>
      </c>
      <c r="E1008" s="44">
        <v>350.38912213974896</v>
      </c>
      <c r="F1008" s="44">
        <v>5062532.0210212357</v>
      </c>
      <c r="G1008" s="44" t="s">
        <v>830</v>
      </c>
      <c r="H1008" s="25">
        <f t="shared" si="32"/>
        <v>6.7914982540075997E-3</v>
      </c>
      <c r="J1008" s="44">
        <v>265.08</v>
      </c>
      <c r="K1008" s="44">
        <v>267.67</v>
      </c>
      <c r="L1008" s="44">
        <v>255.74</v>
      </c>
      <c r="M1008" s="44">
        <v>255.74</v>
      </c>
      <c r="N1008" s="44">
        <v>3188372</v>
      </c>
      <c r="O1008" s="44" t="s">
        <v>830</v>
      </c>
      <c r="P1008" s="25">
        <f t="shared" si="33"/>
        <v>3.6521467115038675E-2</v>
      </c>
    </row>
    <row r="1009" spans="2:16">
      <c r="B1009" s="44">
        <v>349.42569415949174</v>
      </c>
      <c r="C1009" s="44">
        <v>349.73399111317406</v>
      </c>
      <c r="D1009" s="44">
        <v>341.44851048296198</v>
      </c>
      <c r="E1009" s="44">
        <v>343.48134352130467</v>
      </c>
      <c r="F1009" s="44">
        <v>4778387.2737128669</v>
      </c>
      <c r="G1009" s="44" t="s">
        <v>831</v>
      </c>
      <c r="H1009" s="25">
        <f t="shared" si="32"/>
        <v>1.7306181981375568E-2</v>
      </c>
      <c r="J1009" s="44">
        <v>257.86</v>
      </c>
      <c r="K1009" s="44">
        <v>258.73</v>
      </c>
      <c r="L1009" s="44">
        <v>247.03</v>
      </c>
      <c r="M1009" s="44">
        <v>248.66</v>
      </c>
      <c r="N1009" s="44">
        <v>3949792</v>
      </c>
      <c r="O1009" s="44" t="s">
        <v>831</v>
      </c>
      <c r="P1009" s="25">
        <f t="shared" si="33"/>
        <v>3.6998310946674273E-2</v>
      </c>
    </row>
    <row r="1010" spans="2:16">
      <c r="B1010" s="44">
        <v>331.29397957105084</v>
      </c>
      <c r="C1010" s="44">
        <v>337.41174724568424</v>
      </c>
      <c r="D1010" s="44">
        <v>330.80080078795714</v>
      </c>
      <c r="E1010" s="44">
        <v>336.31343934819097</v>
      </c>
      <c r="F1010" s="44">
        <v>3706341.390507102</v>
      </c>
      <c r="G1010" s="44" t="s">
        <v>832</v>
      </c>
      <c r="H1010" s="25">
        <f t="shared" si="32"/>
        <v>-1.492494557121582E-2</v>
      </c>
      <c r="J1010" s="44">
        <v>236.13</v>
      </c>
      <c r="K1010" s="44">
        <v>241.13</v>
      </c>
      <c r="L1010" s="44">
        <v>235.58</v>
      </c>
      <c r="M1010" s="44">
        <v>238.76</v>
      </c>
      <c r="N1010" s="44">
        <v>1761573</v>
      </c>
      <c r="O1010" s="44" t="s">
        <v>832</v>
      </c>
      <c r="P1010" s="25">
        <f t="shared" si="33"/>
        <v>-1.101524543474619E-2</v>
      </c>
    </row>
    <row r="1011" spans="2:16">
      <c r="B1011" s="44">
        <v>338.20175818949514</v>
      </c>
      <c r="C1011" s="44">
        <v>340.92825937362306</v>
      </c>
      <c r="D1011" s="44">
        <v>334.38658338767652</v>
      </c>
      <c r="E1011" s="44">
        <v>337.4021129658816</v>
      </c>
      <c r="F1011" s="44">
        <v>3360080.9467208064</v>
      </c>
      <c r="G1011" s="44" t="s">
        <v>833</v>
      </c>
      <c r="H1011" s="25">
        <f t="shared" si="32"/>
        <v>2.3700065674883142E-3</v>
      </c>
      <c r="J1011" s="44">
        <v>240.7</v>
      </c>
      <c r="K1011" s="44">
        <v>245.745</v>
      </c>
      <c r="L1011" s="44">
        <v>237.56</v>
      </c>
      <c r="M1011" s="44">
        <v>242.18</v>
      </c>
      <c r="N1011" s="44">
        <v>1589748</v>
      </c>
      <c r="O1011" s="44" t="s">
        <v>833</v>
      </c>
      <c r="P1011" s="25">
        <f t="shared" si="33"/>
        <v>-6.1111569906682206E-3</v>
      </c>
    </row>
    <row r="1012" spans="2:16">
      <c r="B1012" s="44">
        <v>336.37124502700641</v>
      </c>
      <c r="C1012" s="44">
        <v>336.92039897575302</v>
      </c>
      <c r="D1012" s="44">
        <v>332.47899598676725</v>
      </c>
      <c r="E1012" s="44">
        <v>334.36731482807141</v>
      </c>
      <c r="F1012" s="44">
        <v>3442496.0328788823</v>
      </c>
      <c r="G1012" s="44" t="s">
        <v>834</v>
      </c>
      <c r="H1012" s="25">
        <f t="shared" si="32"/>
        <v>5.9932000230507043E-3</v>
      </c>
      <c r="J1012" s="44">
        <v>242.33</v>
      </c>
      <c r="K1012" s="44">
        <v>244.2</v>
      </c>
      <c r="L1012" s="44">
        <v>239.8</v>
      </c>
      <c r="M1012" s="44">
        <v>241.72</v>
      </c>
      <c r="N1012" s="44">
        <v>2108116</v>
      </c>
      <c r="O1012" s="44" t="s">
        <v>834</v>
      </c>
      <c r="P1012" s="25">
        <f t="shared" si="33"/>
        <v>2.5235810028132466E-3</v>
      </c>
    </row>
    <row r="1013" spans="2:16">
      <c r="B1013" s="44">
        <v>333.17266413255243</v>
      </c>
      <c r="C1013" s="44">
        <v>335.2922056891183</v>
      </c>
      <c r="D1013" s="44">
        <v>327.56551328745542</v>
      </c>
      <c r="E1013" s="44">
        <v>333.7410866409042</v>
      </c>
      <c r="F1013" s="44">
        <v>3794205.7682651565</v>
      </c>
      <c r="G1013" s="44" t="s">
        <v>835</v>
      </c>
      <c r="H1013" s="25">
        <f t="shared" si="32"/>
        <v>-1.7031840882192339E-3</v>
      </c>
      <c r="J1013" s="44">
        <v>239.53</v>
      </c>
      <c r="K1013" s="44">
        <v>240.77</v>
      </c>
      <c r="L1013" s="44">
        <v>233.7</v>
      </c>
      <c r="M1013" s="44">
        <v>237.92</v>
      </c>
      <c r="N1013" s="44">
        <v>1895939</v>
      </c>
      <c r="O1013" s="44" t="s">
        <v>835</v>
      </c>
      <c r="P1013" s="25">
        <f t="shared" si="33"/>
        <v>6.7669804976462355E-3</v>
      </c>
    </row>
    <row r="1014" spans="2:16">
      <c r="B1014" s="44">
        <v>328.3651585110689</v>
      </c>
      <c r="C1014" s="44">
        <v>331.2361738922354</v>
      </c>
      <c r="D1014" s="44">
        <v>326.50574250917242</v>
      </c>
      <c r="E1014" s="44">
        <v>328.85650678100006</v>
      </c>
      <c r="F1014" s="44">
        <v>4706915.4030478531</v>
      </c>
      <c r="G1014" s="44" t="s">
        <v>836</v>
      </c>
      <c r="H1014" s="25">
        <f t="shared" si="32"/>
        <v>-1.494111443135826E-3</v>
      </c>
      <c r="J1014" s="44">
        <v>234.19</v>
      </c>
      <c r="K1014" s="44">
        <v>236.16</v>
      </c>
      <c r="L1014" s="44">
        <v>231.07</v>
      </c>
      <c r="M1014" s="44">
        <v>233.01</v>
      </c>
      <c r="N1014" s="44">
        <v>2341344</v>
      </c>
      <c r="O1014" s="44" t="s">
        <v>836</v>
      </c>
      <c r="P1014" s="25">
        <f t="shared" si="33"/>
        <v>5.0641603364662835E-3</v>
      </c>
    </row>
    <row r="1015" spans="2:16">
      <c r="B1015" s="44">
        <v>331.90093919861289</v>
      </c>
      <c r="C1015" s="44">
        <v>344.06421744936034</v>
      </c>
      <c r="D1015" s="44">
        <v>331.81423068038976</v>
      </c>
      <c r="E1015" s="44">
        <v>339.87812287514265</v>
      </c>
      <c r="F1015" s="44">
        <v>5213191.9592568334</v>
      </c>
      <c r="G1015" s="44" t="s">
        <v>837</v>
      </c>
      <c r="H1015" s="25">
        <f t="shared" si="32"/>
        <v>-2.3470718294687831E-2</v>
      </c>
      <c r="J1015" s="44">
        <v>236.13</v>
      </c>
      <c r="K1015" s="44">
        <v>247.97</v>
      </c>
      <c r="L1015" s="44">
        <v>236</v>
      </c>
      <c r="M1015" s="44">
        <v>245.43</v>
      </c>
      <c r="N1015" s="44">
        <v>2708410</v>
      </c>
      <c r="O1015" s="44" t="s">
        <v>837</v>
      </c>
      <c r="P1015" s="25">
        <f t="shared" si="33"/>
        <v>-3.7892678156704607E-2</v>
      </c>
    </row>
    <row r="1016" spans="2:16">
      <c r="B1016" s="44">
        <v>340.591059580533</v>
      </c>
      <c r="C1016" s="44">
        <v>345.64423933698214</v>
      </c>
      <c r="D1016" s="44">
        <v>339.40604316481665</v>
      </c>
      <c r="E1016" s="44">
        <v>345.41783376162169</v>
      </c>
      <c r="F1016" s="44">
        <v>8318503.4732542224</v>
      </c>
      <c r="G1016" s="44" t="s">
        <v>838</v>
      </c>
      <c r="H1016" s="25">
        <f t="shared" si="32"/>
        <v>-1.3973726048029489E-2</v>
      </c>
      <c r="J1016" s="44">
        <v>246.86</v>
      </c>
      <c r="K1016" s="44">
        <v>251.29</v>
      </c>
      <c r="L1016" s="44">
        <v>245.185</v>
      </c>
      <c r="M1016" s="44">
        <v>248.07</v>
      </c>
      <c r="N1016" s="44">
        <v>2277365</v>
      </c>
      <c r="O1016" s="44" t="s">
        <v>838</v>
      </c>
      <c r="P1016" s="25">
        <f t="shared" si="33"/>
        <v>-4.8776555004634847E-3</v>
      </c>
    </row>
    <row r="1017" spans="2:16">
      <c r="B1017" s="44">
        <v>341.96876159230084</v>
      </c>
      <c r="C1017" s="44">
        <v>343.86671471340759</v>
      </c>
      <c r="D1017" s="44">
        <v>341.10167641006939</v>
      </c>
      <c r="E1017" s="44">
        <v>342.17108146815491</v>
      </c>
      <c r="F1017" s="44">
        <v>6675082.2394456752</v>
      </c>
      <c r="G1017" s="44" t="s">
        <v>839</v>
      </c>
      <c r="H1017" s="25">
        <f t="shared" si="32"/>
        <v>-5.9128280211750983E-4</v>
      </c>
      <c r="J1017" s="44">
        <v>246.47</v>
      </c>
      <c r="K1017" s="44">
        <v>248.41</v>
      </c>
      <c r="L1017" s="44">
        <v>242.79</v>
      </c>
      <c r="M1017" s="44">
        <v>243</v>
      </c>
      <c r="N1017" s="44">
        <v>2704484</v>
      </c>
      <c r="O1017" s="44" t="s">
        <v>839</v>
      </c>
      <c r="P1017" s="25">
        <f t="shared" si="33"/>
        <v>1.4279835390946571E-2</v>
      </c>
    </row>
    <row r="1018" spans="2:16">
      <c r="B1018" s="44">
        <v>344.3098915843259</v>
      </c>
      <c r="C1018" s="44">
        <v>344.88794837248025</v>
      </c>
      <c r="D1018" s="44">
        <v>336.1881937107575</v>
      </c>
      <c r="E1018" s="44">
        <v>336.27490222898069</v>
      </c>
      <c r="F1018" s="44">
        <v>4554650.7781810993</v>
      </c>
      <c r="G1018" s="44" t="s">
        <v>840</v>
      </c>
      <c r="H1018" s="25">
        <f t="shared" si="32"/>
        <v>2.3894109557643706E-2</v>
      </c>
      <c r="J1018" s="44">
        <v>244.16</v>
      </c>
      <c r="K1018" s="44">
        <v>248.11</v>
      </c>
      <c r="L1018" s="44">
        <v>240.39500000000001</v>
      </c>
      <c r="M1018" s="44">
        <v>240.94</v>
      </c>
      <c r="N1018" s="44">
        <v>2901792</v>
      </c>
      <c r="O1018" s="44" t="s">
        <v>840</v>
      </c>
      <c r="P1018" s="25">
        <f t="shared" si="33"/>
        <v>1.336432306798363E-2</v>
      </c>
    </row>
    <row r="1019" spans="2:16">
      <c r="B1019" s="44">
        <v>336.4579535452296</v>
      </c>
      <c r="C1019" s="44">
        <v>340.85118513520251</v>
      </c>
      <c r="D1019" s="44">
        <v>335.84617677776623</v>
      </c>
      <c r="E1019" s="44">
        <v>339.17482044955494</v>
      </c>
      <c r="F1019" s="44">
        <v>4302618.4467813289</v>
      </c>
      <c r="G1019" s="44" t="s">
        <v>841</v>
      </c>
      <c r="H1019" s="25">
        <f t="shared" si="32"/>
        <v>-8.0102258201959486E-3</v>
      </c>
      <c r="J1019" s="44">
        <v>241.69</v>
      </c>
      <c r="K1019" s="44">
        <v>244.1</v>
      </c>
      <c r="L1019" s="44">
        <v>238.32</v>
      </c>
      <c r="M1019" s="44">
        <v>242.44</v>
      </c>
      <c r="N1019" s="44">
        <v>2770229</v>
      </c>
      <c r="O1019" s="44" t="s">
        <v>841</v>
      </c>
      <c r="P1019" s="25">
        <f t="shared" si="33"/>
        <v>-3.0935489193202326E-3</v>
      </c>
    </row>
    <row r="1020" spans="2:16">
      <c r="B1020" s="44">
        <v>338.26919814811316</v>
      </c>
      <c r="C1020" s="44">
        <v>343.14414372821471</v>
      </c>
      <c r="D1020" s="44">
        <v>337.62370140134078</v>
      </c>
      <c r="E1020" s="44">
        <v>337.87419267620766</v>
      </c>
      <c r="F1020" s="44">
        <v>4440091.0993449781</v>
      </c>
      <c r="G1020" s="44" t="s">
        <v>842</v>
      </c>
      <c r="H1020" s="25">
        <f t="shared" si="32"/>
        <v>1.1690903906473871E-3</v>
      </c>
      <c r="J1020" s="44">
        <v>241.66</v>
      </c>
      <c r="K1020" s="44">
        <v>249.14</v>
      </c>
      <c r="L1020" s="44">
        <v>235.94</v>
      </c>
      <c r="M1020" s="44">
        <v>237.75</v>
      </c>
      <c r="N1020" s="44">
        <v>3700657</v>
      </c>
      <c r="O1020" s="44" t="s">
        <v>842</v>
      </c>
      <c r="P1020" s="25">
        <f t="shared" si="33"/>
        <v>1.6445846477392223E-2</v>
      </c>
    </row>
    <row r="1021" spans="2:16">
      <c r="B1021" s="44">
        <v>340.81264801599218</v>
      </c>
      <c r="C1021" s="44">
        <v>341.08240785046422</v>
      </c>
      <c r="D1021" s="44">
        <v>335.30183996892089</v>
      </c>
      <c r="E1021" s="44">
        <v>335.32110852852605</v>
      </c>
      <c r="F1021" s="44">
        <v>5400918.4979356388</v>
      </c>
      <c r="G1021" s="44" t="s">
        <v>843</v>
      </c>
      <c r="H1021" s="25">
        <f t="shared" si="32"/>
        <v>1.6376957333716247E-2</v>
      </c>
      <c r="J1021" s="44">
        <v>237.87</v>
      </c>
      <c r="K1021" s="44">
        <v>238.07</v>
      </c>
      <c r="L1021" s="44">
        <v>226.11</v>
      </c>
      <c r="M1021" s="44">
        <v>231.03</v>
      </c>
      <c r="N1021" s="44">
        <v>4646787</v>
      </c>
      <c r="O1021" s="44" t="s">
        <v>843</v>
      </c>
      <c r="P1021" s="25">
        <f t="shared" si="33"/>
        <v>2.9606544604596774E-2</v>
      </c>
    </row>
    <row r="1022" spans="2:16">
      <c r="B1022" s="44">
        <v>335.35964564773627</v>
      </c>
      <c r="C1022" s="44">
        <v>336.4579535452296</v>
      </c>
      <c r="D1022" s="44">
        <v>330.33055159079362</v>
      </c>
      <c r="E1022" s="44">
        <v>332.81619577985725</v>
      </c>
      <c r="F1022" s="44">
        <v>5853490.9879764495</v>
      </c>
      <c r="G1022" s="44" t="s">
        <v>844</v>
      </c>
      <c r="H1022" s="25">
        <f t="shared" si="32"/>
        <v>7.642205818497505E-3</v>
      </c>
      <c r="J1022" s="44">
        <v>220.27</v>
      </c>
      <c r="K1022" s="44">
        <v>221.56</v>
      </c>
      <c r="L1022" s="44">
        <v>217.64</v>
      </c>
      <c r="M1022" s="44">
        <v>218.84</v>
      </c>
      <c r="N1022" s="44">
        <v>2430492</v>
      </c>
      <c r="O1022" s="44" t="s">
        <v>844</v>
      </c>
      <c r="P1022" s="25">
        <f t="shared" si="33"/>
        <v>6.5344543959056089E-3</v>
      </c>
    </row>
    <row r="1023" spans="2:16">
      <c r="B1023" s="44">
        <v>331.32288241045853</v>
      </c>
      <c r="C1023" s="44">
        <v>331.79544383477469</v>
      </c>
      <c r="D1023" s="44">
        <v>321.91019104334549</v>
      </c>
      <c r="E1023" s="44">
        <v>323.23008737629789</v>
      </c>
      <c r="F1023" s="44">
        <v>4528029.1722846711</v>
      </c>
      <c r="G1023" s="44" t="s">
        <v>845</v>
      </c>
      <c r="H1023" s="25">
        <f t="shared" si="32"/>
        <v>2.5037257824143122E-2</v>
      </c>
      <c r="J1023" s="44">
        <v>218.49</v>
      </c>
      <c r="K1023" s="44">
        <v>219.04</v>
      </c>
      <c r="L1023" s="44">
        <v>206.77</v>
      </c>
      <c r="M1023" s="44">
        <v>210.5</v>
      </c>
      <c r="N1023" s="44">
        <v>3142819</v>
      </c>
      <c r="O1023" s="44" t="s">
        <v>845</v>
      </c>
      <c r="P1023" s="25">
        <f t="shared" si="33"/>
        <v>3.7957244655582034E-2</v>
      </c>
    </row>
    <row r="1024" spans="2:16">
      <c r="B1024" s="44">
        <v>323.54801860978279</v>
      </c>
      <c r="C1024" s="44">
        <v>329.89700899967789</v>
      </c>
      <c r="D1024" s="44">
        <v>322.79654478518216</v>
      </c>
      <c r="E1024" s="44">
        <v>325.80244008358471</v>
      </c>
      <c r="F1024" s="44">
        <v>3590365.9338152912</v>
      </c>
      <c r="G1024" s="44" t="s">
        <v>846</v>
      </c>
      <c r="H1024" s="25">
        <f t="shared" si="32"/>
        <v>-6.9195966525712471E-3</v>
      </c>
      <c r="J1024" s="44">
        <v>212</v>
      </c>
      <c r="K1024" s="44">
        <v>221</v>
      </c>
      <c r="L1024" s="44">
        <v>211.12</v>
      </c>
      <c r="M1024" s="44">
        <v>211.41</v>
      </c>
      <c r="N1024" s="44">
        <v>3664878</v>
      </c>
      <c r="O1024" s="44" t="s">
        <v>846</v>
      </c>
      <c r="P1024" s="25">
        <f t="shared" si="33"/>
        <v>2.7907856771203221E-3</v>
      </c>
    </row>
    <row r="1025" spans="2:16">
      <c r="B1025" s="44">
        <v>326.22634839489785</v>
      </c>
      <c r="C1025" s="44">
        <v>329.17443801448496</v>
      </c>
      <c r="D1025" s="44">
        <v>323.61545856840075</v>
      </c>
      <c r="E1025" s="44">
        <v>326.64062242640847</v>
      </c>
      <c r="F1025" s="44">
        <v>4570381.0665997043</v>
      </c>
      <c r="G1025" s="44" t="s">
        <v>847</v>
      </c>
      <c r="H1025" s="25">
        <f t="shared" si="32"/>
        <v>-1.2682869277961251E-3</v>
      </c>
      <c r="J1025" s="44">
        <v>211.14</v>
      </c>
      <c r="K1025" s="44">
        <v>220.98</v>
      </c>
      <c r="L1025" s="44">
        <v>210.36</v>
      </c>
      <c r="M1025" s="44">
        <v>217.94</v>
      </c>
      <c r="N1025" s="44">
        <v>5873010</v>
      </c>
      <c r="O1025" s="44" t="s">
        <v>847</v>
      </c>
      <c r="P1025" s="25">
        <f t="shared" si="33"/>
        <v>-3.1201248049922081E-2</v>
      </c>
    </row>
    <row r="1026" spans="2:16">
      <c r="B1026" s="44">
        <v>328.50003842830495</v>
      </c>
      <c r="C1026" s="44">
        <v>332.38265318874153</v>
      </c>
      <c r="D1026" s="44">
        <v>325.41225175158047</v>
      </c>
      <c r="E1026" s="44">
        <v>332.07435623505921</v>
      </c>
      <c r="F1026" s="44">
        <v>5089407.9271923304</v>
      </c>
      <c r="G1026" s="44" t="s">
        <v>848</v>
      </c>
      <c r="H1026" s="25">
        <f t="shared" ref="H1026:H1089" si="34">B1026/E1026-1</f>
        <v>-1.0763606823720462E-2</v>
      </c>
      <c r="J1026" s="44">
        <v>193.73</v>
      </c>
      <c r="K1026" s="44">
        <v>199.77</v>
      </c>
      <c r="L1026" s="44">
        <v>192.39500000000001</v>
      </c>
      <c r="M1026" s="44">
        <v>195.94</v>
      </c>
      <c r="N1026" s="44">
        <v>2957831</v>
      </c>
      <c r="O1026" s="44" t="s">
        <v>848</v>
      </c>
      <c r="P1026" s="25">
        <f t="shared" si="33"/>
        <v>-1.1278962947841253E-2</v>
      </c>
    </row>
    <row r="1027" spans="2:16">
      <c r="B1027" s="44">
        <v>324.67522934668375</v>
      </c>
      <c r="C1027" s="44">
        <v>325.73500012496669</v>
      </c>
      <c r="D1027" s="44">
        <v>322.22812227683039</v>
      </c>
      <c r="E1027" s="44">
        <v>322.33409935465869</v>
      </c>
      <c r="F1027" s="44">
        <v>4037163.2127204295</v>
      </c>
      <c r="G1027" s="44" t="s">
        <v>849</v>
      </c>
      <c r="H1027" s="25">
        <f t="shared" si="34"/>
        <v>7.2630540694025303E-3</v>
      </c>
      <c r="J1027" s="44">
        <v>190.12</v>
      </c>
      <c r="K1027" s="44">
        <v>190.745</v>
      </c>
      <c r="L1027" s="44">
        <v>185.82</v>
      </c>
      <c r="M1027" s="44">
        <v>186.26</v>
      </c>
      <c r="N1027" s="44">
        <v>2379929</v>
      </c>
      <c r="O1027" s="44" t="s">
        <v>849</v>
      </c>
      <c r="P1027" s="25">
        <f t="shared" si="33"/>
        <v>2.072371953183727E-2</v>
      </c>
    </row>
    <row r="1028" spans="2:16">
      <c r="B1028" s="44">
        <v>316.63060571153591</v>
      </c>
      <c r="C1028" s="44">
        <v>327.74856460370427</v>
      </c>
      <c r="D1028" s="44">
        <v>316.02846322387512</v>
      </c>
      <c r="E1028" s="44">
        <v>326.23598267470044</v>
      </c>
      <c r="F1028" s="44">
        <v>5069396.0525165992</v>
      </c>
      <c r="G1028" s="44" t="s">
        <v>850</v>
      </c>
      <c r="H1028" s="25">
        <f t="shared" si="34"/>
        <v>-2.9443033488866677E-2</v>
      </c>
      <c r="J1028" s="44">
        <v>183.06</v>
      </c>
      <c r="K1028" s="44">
        <v>194.5</v>
      </c>
      <c r="L1028" s="44">
        <v>182.56</v>
      </c>
      <c r="M1028" s="44">
        <v>193.29</v>
      </c>
      <c r="N1028" s="44">
        <v>2430640</v>
      </c>
      <c r="O1028" s="44" t="s">
        <v>850</v>
      </c>
      <c r="P1028" s="25">
        <f t="shared" si="33"/>
        <v>-5.2925655750426737E-2</v>
      </c>
    </row>
    <row r="1029" spans="2:16">
      <c r="B1029" s="44">
        <v>323.92375552208313</v>
      </c>
      <c r="C1029" s="44">
        <v>325.32554323335739</v>
      </c>
      <c r="D1029" s="44">
        <v>308.17170804487751</v>
      </c>
      <c r="E1029" s="44">
        <v>309.10623318572698</v>
      </c>
      <c r="F1029" s="44">
        <v>6639718.9318625769</v>
      </c>
      <c r="G1029" s="44" t="s">
        <v>851</v>
      </c>
      <c r="H1029" s="25">
        <f t="shared" si="34"/>
        <v>4.7936666251091165E-2</v>
      </c>
      <c r="J1029" s="44">
        <v>190.38</v>
      </c>
      <c r="K1029" s="44">
        <v>192.44</v>
      </c>
      <c r="L1029" s="44">
        <v>180.07</v>
      </c>
      <c r="M1029" s="44">
        <v>181.11</v>
      </c>
      <c r="N1029" s="44">
        <v>2067327</v>
      </c>
      <c r="O1029" s="44" t="s">
        <v>851</v>
      </c>
      <c r="P1029" s="25">
        <f t="shared" si="33"/>
        <v>5.1184363094252117E-2</v>
      </c>
    </row>
    <row r="1030" spans="2:16">
      <c r="B1030" s="44">
        <v>315.6575434514761</v>
      </c>
      <c r="C1030" s="44">
        <v>318.49002171343233</v>
      </c>
      <c r="D1030" s="44">
        <v>315.46485785542467</v>
      </c>
      <c r="E1030" s="44">
        <v>317.11231970166455</v>
      </c>
      <c r="F1030" s="44">
        <v>3357865.9394304533</v>
      </c>
      <c r="G1030" s="44" t="s">
        <v>852</v>
      </c>
      <c r="H1030" s="25">
        <f t="shared" si="34"/>
        <v>-4.5875740543825927E-3</v>
      </c>
      <c r="J1030" s="44">
        <v>186.34</v>
      </c>
      <c r="K1030" s="44">
        <v>186.97319999999999</v>
      </c>
      <c r="L1030" s="44">
        <v>183.57</v>
      </c>
      <c r="M1030" s="44">
        <v>186.56</v>
      </c>
      <c r="N1030" s="44">
        <v>1628438</v>
      </c>
      <c r="O1030" s="44" t="s">
        <v>852</v>
      </c>
      <c r="P1030" s="25">
        <f t="shared" si="33"/>
        <v>-1.179245283018826E-3</v>
      </c>
    </row>
    <row r="1031" spans="2:16">
      <c r="B1031" s="44">
        <v>316.64023999133855</v>
      </c>
      <c r="C1031" s="44">
        <v>321.36103709459888</v>
      </c>
      <c r="D1031" s="44">
        <v>314.89643534707295</v>
      </c>
      <c r="E1031" s="44">
        <v>317.1604911006774</v>
      </c>
      <c r="F1031" s="44">
        <v>5156698.89374978</v>
      </c>
      <c r="G1031" s="44" t="s">
        <v>853</v>
      </c>
      <c r="H1031" s="25">
        <f t="shared" si="34"/>
        <v>-1.6403402187118443E-3</v>
      </c>
      <c r="J1031" s="44">
        <v>185.9</v>
      </c>
      <c r="K1031" s="44">
        <v>189.67</v>
      </c>
      <c r="L1031" s="44">
        <v>183.53</v>
      </c>
      <c r="M1031" s="44">
        <v>186.22</v>
      </c>
      <c r="N1031" s="44">
        <v>1663493</v>
      </c>
      <c r="O1031" s="44" t="s">
        <v>853</v>
      </c>
      <c r="P1031" s="25">
        <f t="shared" si="33"/>
        <v>-1.7183975942433038E-3</v>
      </c>
    </row>
    <row r="1032" spans="2:16">
      <c r="B1032" s="44">
        <v>318.7405129882992</v>
      </c>
      <c r="C1032" s="44">
        <v>322.43044215268441</v>
      </c>
      <c r="D1032" s="44">
        <v>316.64023999133855</v>
      </c>
      <c r="E1032" s="44">
        <v>322.23775655663297</v>
      </c>
      <c r="F1032" s="44">
        <v>4083190.5244746106</v>
      </c>
      <c r="G1032" s="44" t="s">
        <v>854</v>
      </c>
      <c r="H1032" s="25">
        <f t="shared" si="34"/>
        <v>-1.0852991299668324E-2</v>
      </c>
      <c r="J1032" s="44">
        <v>186.55</v>
      </c>
      <c r="K1032" s="44">
        <v>188.65</v>
      </c>
      <c r="L1032" s="44">
        <v>184.32</v>
      </c>
      <c r="M1032" s="44">
        <v>187.94</v>
      </c>
      <c r="N1032" s="44">
        <v>1635058</v>
      </c>
      <c r="O1032" s="44" t="s">
        <v>854</v>
      </c>
      <c r="P1032" s="25">
        <f t="shared" si="33"/>
        <v>-7.3959774396082922E-3</v>
      </c>
    </row>
    <row r="1033" spans="2:16">
      <c r="B1033" s="44">
        <v>321.1394486591397</v>
      </c>
      <c r="C1033" s="44">
        <v>326.92965082048562</v>
      </c>
      <c r="D1033" s="44">
        <v>319.52088965230757</v>
      </c>
      <c r="E1033" s="44">
        <v>326.67915954561875</v>
      </c>
      <c r="F1033" s="44">
        <v>5364257.7399715921</v>
      </c>
      <c r="G1033" s="44" t="s">
        <v>855</v>
      </c>
      <c r="H1033" s="25">
        <f t="shared" si="34"/>
        <v>-1.6957650112067957E-2</v>
      </c>
      <c r="J1033" s="44">
        <v>188.68</v>
      </c>
      <c r="K1033" s="44">
        <v>195.6</v>
      </c>
      <c r="L1033" s="44">
        <v>187.62</v>
      </c>
      <c r="M1033" s="44">
        <v>194.65</v>
      </c>
      <c r="N1033" s="44">
        <v>1897349</v>
      </c>
      <c r="O1033" s="44" t="s">
        <v>855</v>
      </c>
      <c r="P1033" s="25">
        <f t="shared" si="33"/>
        <v>-3.0670434112509581E-2</v>
      </c>
    </row>
    <row r="1034" spans="2:16">
      <c r="B1034" s="44">
        <v>330.41726010901675</v>
      </c>
      <c r="C1034" s="44">
        <v>335.25366856990803</v>
      </c>
      <c r="D1034" s="44">
        <v>329.96444895829586</v>
      </c>
      <c r="E1034" s="44">
        <v>332.5560702251878</v>
      </c>
      <c r="F1034" s="44">
        <v>4026883.2538621081</v>
      </c>
      <c r="G1034" s="44" t="s">
        <v>856</v>
      </c>
      <c r="H1034" s="25">
        <f t="shared" si="34"/>
        <v>-6.4314270815226671E-3</v>
      </c>
      <c r="J1034" s="44">
        <v>197.7</v>
      </c>
      <c r="K1034" s="44">
        <v>202.68</v>
      </c>
      <c r="L1034" s="44">
        <v>197.23</v>
      </c>
      <c r="M1034" s="44">
        <v>200.09</v>
      </c>
      <c r="N1034" s="44">
        <v>1502356</v>
      </c>
      <c r="O1034" s="44" t="s">
        <v>856</v>
      </c>
      <c r="P1034" s="25">
        <f t="shared" si="33"/>
        <v>-1.1944624918786673E-2</v>
      </c>
    </row>
    <row r="1035" spans="2:16">
      <c r="B1035" s="44">
        <v>333.93377223695563</v>
      </c>
      <c r="C1035" s="44">
        <v>335.88953103687777</v>
      </c>
      <c r="D1035" s="44">
        <v>328.39406135047665</v>
      </c>
      <c r="E1035" s="44">
        <v>330.57140858585791</v>
      </c>
      <c r="F1035" s="44">
        <v>4936302.5544787226</v>
      </c>
      <c r="G1035" s="44" t="s">
        <v>857</v>
      </c>
      <c r="H1035" s="25">
        <f t="shared" si="34"/>
        <v>1.0171368617393428E-2</v>
      </c>
      <c r="J1035" s="44">
        <v>201.38</v>
      </c>
      <c r="K1035" s="44">
        <v>202.58</v>
      </c>
      <c r="L1035" s="44">
        <v>196.36</v>
      </c>
      <c r="M1035" s="44">
        <v>198.27</v>
      </c>
      <c r="N1035" s="44">
        <v>1647421</v>
      </c>
      <c r="O1035" s="44" t="s">
        <v>857</v>
      </c>
      <c r="P1035" s="25">
        <f t="shared" si="33"/>
        <v>1.5685681141877073E-2</v>
      </c>
    </row>
    <row r="1036" spans="2:16">
      <c r="B1036" s="44">
        <v>334.51182902510993</v>
      </c>
      <c r="C1036" s="44">
        <v>334.62744038274082</v>
      </c>
      <c r="D1036" s="44">
        <v>329.61761488540327</v>
      </c>
      <c r="E1036" s="44">
        <v>329.62724916520585</v>
      </c>
      <c r="F1036" s="44">
        <v>5303932.5250193719</v>
      </c>
      <c r="G1036" s="44" t="s">
        <v>858</v>
      </c>
      <c r="H1036" s="25">
        <f t="shared" si="34"/>
        <v>1.4818495352779459E-2</v>
      </c>
      <c r="J1036" s="44">
        <v>201.54</v>
      </c>
      <c r="K1036" s="44">
        <v>202.8</v>
      </c>
      <c r="L1036" s="44">
        <v>197.63499999999999</v>
      </c>
      <c r="M1036" s="44">
        <v>197.87</v>
      </c>
      <c r="N1036" s="44">
        <v>2079706</v>
      </c>
      <c r="O1036" s="44" t="s">
        <v>858</v>
      </c>
      <c r="P1036" s="25">
        <f t="shared" si="33"/>
        <v>1.8547531207358192E-2</v>
      </c>
    </row>
    <row r="1037" spans="2:16">
      <c r="B1037" s="44">
        <v>324.65596078707858</v>
      </c>
      <c r="C1037" s="44">
        <v>326.27451979391077</v>
      </c>
      <c r="D1037" s="44">
        <v>318.02757628290891</v>
      </c>
      <c r="E1037" s="44">
        <v>319.65576956954362</v>
      </c>
      <c r="F1037" s="44">
        <v>5956851.075124233</v>
      </c>
      <c r="G1037" s="44" t="s">
        <v>859</v>
      </c>
      <c r="H1037" s="25">
        <f t="shared" si="34"/>
        <v>1.5642424425088119E-2</v>
      </c>
      <c r="J1037" s="44">
        <v>193.36</v>
      </c>
      <c r="K1037" s="44">
        <v>195.17</v>
      </c>
      <c r="L1037" s="44">
        <v>187.97</v>
      </c>
      <c r="M1037" s="44">
        <v>189.4</v>
      </c>
      <c r="N1037" s="44">
        <v>1644551</v>
      </c>
      <c r="O1037" s="44" t="s">
        <v>859</v>
      </c>
      <c r="P1037" s="25">
        <f t="shared" si="33"/>
        <v>2.0908130939810032E-2</v>
      </c>
    </row>
    <row r="1038" spans="2:16">
      <c r="B1038" s="44">
        <v>316.2934059184459</v>
      </c>
      <c r="C1038" s="44">
        <v>323.89485268267538</v>
      </c>
      <c r="D1038" s="44">
        <v>316.11998888199963</v>
      </c>
      <c r="E1038" s="44">
        <v>320.40724339414425</v>
      </c>
      <c r="F1038" s="44">
        <v>8030315.8705588225</v>
      </c>
      <c r="G1038" s="44" t="s">
        <v>860</v>
      </c>
      <c r="H1038" s="25">
        <f t="shared" si="34"/>
        <v>-1.2839402231109243E-2</v>
      </c>
      <c r="J1038" s="44">
        <v>187.44</v>
      </c>
      <c r="K1038" s="44">
        <v>194.46</v>
      </c>
      <c r="L1038" s="44">
        <v>187.06</v>
      </c>
      <c r="M1038" s="44">
        <v>190.12</v>
      </c>
      <c r="N1038" s="44">
        <v>2094141</v>
      </c>
      <c r="O1038" s="44" t="s">
        <v>860</v>
      </c>
      <c r="P1038" s="25">
        <f t="shared" si="33"/>
        <v>-1.4096360193561974E-2</v>
      </c>
    </row>
    <row r="1039" spans="2:16">
      <c r="B1039" s="44">
        <v>321.18762005815256</v>
      </c>
      <c r="C1039" s="44">
        <v>324.9642577407609</v>
      </c>
      <c r="D1039" s="44">
        <v>318.44185031441947</v>
      </c>
      <c r="E1039" s="44">
        <v>324.81974354372227</v>
      </c>
      <c r="F1039" s="44">
        <v>7504578.5965959374</v>
      </c>
      <c r="G1039" s="44" t="s">
        <v>861</v>
      </c>
      <c r="H1039" s="25">
        <f t="shared" si="34"/>
        <v>-1.1181966483760908E-2</v>
      </c>
      <c r="J1039" s="44">
        <v>189.06</v>
      </c>
      <c r="K1039" s="44">
        <v>191.24709999999999</v>
      </c>
      <c r="L1039" s="44">
        <v>187.09</v>
      </c>
      <c r="M1039" s="44">
        <v>189.6</v>
      </c>
      <c r="N1039" s="44">
        <v>1719182</v>
      </c>
      <c r="O1039" s="44" t="s">
        <v>861</v>
      </c>
      <c r="P1039" s="25">
        <f t="shared" si="33"/>
        <v>-2.848101265822689E-3</v>
      </c>
    </row>
    <row r="1040" spans="2:16">
      <c r="B1040" s="44">
        <v>328.02795871797889</v>
      </c>
      <c r="C1040" s="44">
        <v>329.58871204599558</v>
      </c>
      <c r="D1040" s="44">
        <v>320.99493446210113</v>
      </c>
      <c r="E1040" s="44">
        <v>322.55568779011787</v>
      </c>
      <c r="F1040" s="44">
        <v>9013594.3505413942</v>
      </c>
      <c r="G1040" s="44" t="s">
        <v>862</v>
      </c>
      <c r="H1040" s="25">
        <f t="shared" si="34"/>
        <v>1.6965352449223481E-2</v>
      </c>
      <c r="J1040" s="44">
        <v>192.4</v>
      </c>
      <c r="K1040" s="44">
        <v>193.63</v>
      </c>
      <c r="L1040" s="44">
        <v>186.26499999999999</v>
      </c>
      <c r="M1040" s="44">
        <v>188.35</v>
      </c>
      <c r="N1040" s="44">
        <v>1592731</v>
      </c>
      <c r="O1040" s="44" t="s">
        <v>862</v>
      </c>
      <c r="P1040" s="25">
        <f t="shared" si="33"/>
        <v>2.1502521900716776E-2</v>
      </c>
    </row>
    <row r="1041" spans="2:16">
      <c r="B1041" s="44">
        <v>321.70864190987555</v>
      </c>
      <c r="C1041" s="44">
        <v>327.89553102499133</v>
      </c>
      <c r="D1041" s="44">
        <v>319.49287231981077</v>
      </c>
      <c r="E1041" s="44">
        <v>325.92915541476077</v>
      </c>
      <c r="F1041" s="44">
        <v>6042131.9752875771</v>
      </c>
      <c r="G1041" s="44" t="s">
        <v>863</v>
      </c>
      <c r="H1041" s="25">
        <f t="shared" si="34"/>
        <v>-1.2949174490126225E-2</v>
      </c>
      <c r="J1041" s="44">
        <v>186.38</v>
      </c>
      <c r="K1041" s="44">
        <v>191.5</v>
      </c>
      <c r="L1041" s="44">
        <v>184.93539999999999</v>
      </c>
      <c r="M1041" s="44">
        <v>190.56</v>
      </c>
      <c r="N1041" s="44">
        <v>1816038</v>
      </c>
      <c r="O1041" s="44" t="s">
        <v>863</v>
      </c>
      <c r="P1041" s="25">
        <f t="shared" si="33"/>
        <v>-2.1935348446683545E-2</v>
      </c>
    </row>
    <row r="1042" spans="2:16">
      <c r="B1042" s="44">
        <v>322.61988914388485</v>
      </c>
      <c r="C1042" s="44">
        <v>327.72287365433698</v>
      </c>
      <c r="D1042" s="44">
        <v>321.40169547315662</v>
      </c>
      <c r="E1042" s="44">
        <v>324.432791535756</v>
      </c>
      <c r="F1042" s="44">
        <v>5635574.5272391634</v>
      </c>
      <c r="G1042" s="44" t="s">
        <v>864</v>
      </c>
      <c r="H1042" s="25">
        <f t="shared" si="34"/>
        <v>-5.5879135499512511E-3</v>
      </c>
      <c r="J1042" s="44">
        <v>187.93</v>
      </c>
      <c r="K1042" s="44">
        <v>192.46</v>
      </c>
      <c r="L1042" s="44">
        <v>187.02</v>
      </c>
      <c r="M1042" s="44">
        <v>189.95</v>
      </c>
      <c r="N1042" s="44">
        <v>1751845</v>
      </c>
      <c r="O1042" s="44" t="s">
        <v>864</v>
      </c>
      <c r="P1042" s="25">
        <f t="shared" si="33"/>
        <v>-1.063437746775453E-2</v>
      </c>
    </row>
    <row r="1043" spans="2:16">
      <c r="B1043" s="44">
        <v>325.77568219640131</v>
      </c>
      <c r="C1043" s="44">
        <v>328.12574085253056</v>
      </c>
      <c r="D1043" s="44">
        <v>321.63190530069579</v>
      </c>
      <c r="E1043" s="44">
        <v>328.12574085253056</v>
      </c>
      <c r="F1043" s="44">
        <v>10937664.420826318</v>
      </c>
      <c r="G1043" s="44" t="s">
        <v>865</v>
      </c>
      <c r="H1043" s="25">
        <f t="shared" si="34"/>
        <v>-7.1620673526660017E-3</v>
      </c>
      <c r="J1043" s="44">
        <v>190.52</v>
      </c>
      <c r="K1043" s="44">
        <v>191.14</v>
      </c>
      <c r="L1043" s="44">
        <v>186.95</v>
      </c>
      <c r="M1043" s="44">
        <v>190.2</v>
      </c>
      <c r="N1043" s="44">
        <v>1918565</v>
      </c>
      <c r="O1043" s="44" t="s">
        <v>865</v>
      </c>
      <c r="P1043" s="25">
        <f t="shared" si="33"/>
        <v>1.6824395373291612E-3</v>
      </c>
    </row>
    <row r="1044" spans="2:16">
      <c r="B1044" s="44">
        <v>331.28153390504701</v>
      </c>
      <c r="C1044" s="44">
        <v>334.32222204379389</v>
      </c>
      <c r="D1044" s="44">
        <v>330.61008857472439</v>
      </c>
      <c r="E1044" s="44">
        <v>333.37260650519471</v>
      </c>
      <c r="F1044" s="44">
        <v>5791886.8809933634</v>
      </c>
      <c r="G1044" s="44" t="s">
        <v>866</v>
      </c>
      <c r="H1044" s="25">
        <f t="shared" si="34"/>
        <v>-6.2724787800316761E-3</v>
      </c>
      <c r="J1044" s="44">
        <v>191.08</v>
      </c>
      <c r="K1044" s="44">
        <v>194.45</v>
      </c>
      <c r="L1044" s="44">
        <v>189.08</v>
      </c>
      <c r="M1044" s="44">
        <v>193.45</v>
      </c>
      <c r="N1044" s="44">
        <v>1907364</v>
      </c>
      <c r="O1044" s="44" t="s">
        <v>866</v>
      </c>
      <c r="P1044" s="25">
        <f t="shared" si="33"/>
        <v>-1.2251227707417822E-2</v>
      </c>
    </row>
    <row r="1045" spans="2:16">
      <c r="B1045" s="44">
        <v>334.1016042924021</v>
      </c>
      <c r="C1045" s="44">
        <v>344.64329597846773</v>
      </c>
      <c r="D1045" s="44">
        <v>334.1016042924021</v>
      </c>
      <c r="E1045" s="44">
        <v>341.84240974340753</v>
      </c>
      <c r="F1045" s="44">
        <v>5319392.7170268791</v>
      </c>
      <c r="G1045" s="44" t="s">
        <v>867</v>
      </c>
      <c r="H1045" s="25">
        <f t="shared" si="34"/>
        <v>-2.2644368370840273E-2</v>
      </c>
      <c r="J1045" s="44">
        <v>195.04</v>
      </c>
      <c r="K1045" s="44">
        <v>203.52</v>
      </c>
      <c r="L1045" s="44">
        <v>195</v>
      </c>
      <c r="M1045" s="44">
        <v>200.39</v>
      </c>
      <c r="N1045" s="44">
        <v>1583260</v>
      </c>
      <c r="O1045" s="44" t="s">
        <v>867</v>
      </c>
      <c r="P1045" s="25">
        <f t="shared" si="33"/>
        <v>-2.6697939018913042E-2</v>
      </c>
    </row>
    <row r="1046" spans="2:16">
      <c r="B1046" s="44">
        <v>340.08705980842115</v>
      </c>
      <c r="C1046" s="44">
        <v>341.84240974340753</v>
      </c>
      <c r="D1046" s="44">
        <v>337.48108456067746</v>
      </c>
      <c r="E1046" s="44">
        <v>340.88320212866086</v>
      </c>
      <c r="F1046" s="44">
        <v>3778078.8478803043</v>
      </c>
      <c r="G1046" s="44" t="s">
        <v>868</v>
      </c>
      <c r="H1046" s="25">
        <f t="shared" si="34"/>
        <v>-2.3355281670324191E-3</v>
      </c>
      <c r="J1046" s="44">
        <v>199.55</v>
      </c>
      <c r="K1046" s="44">
        <v>201.17</v>
      </c>
      <c r="L1046" s="44">
        <v>196.71</v>
      </c>
      <c r="M1046" s="44">
        <v>201.13</v>
      </c>
      <c r="N1046" s="44">
        <v>1627223</v>
      </c>
      <c r="O1046" s="44" t="s">
        <v>868</v>
      </c>
      <c r="P1046" s="25">
        <f t="shared" si="33"/>
        <v>-7.8556157708943308E-3</v>
      </c>
    </row>
    <row r="1047" spans="2:16">
      <c r="B1047" s="44">
        <v>343.96225857199755</v>
      </c>
      <c r="C1047" s="44">
        <v>343.96225857199755</v>
      </c>
      <c r="D1047" s="44">
        <v>338.3604861018772</v>
      </c>
      <c r="E1047" s="44">
        <v>338.40844648261452</v>
      </c>
      <c r="F1047" s="44">
        <v>3557775.1339071663</v>
      </c>
      <c r="G1047" s="44" t="s">
        <v>869</v>
      </c>
      <c r="H1047" s="25">
        <f t="shared" si="34"/>
        <v>1.641156462585025E-2</v>
      </c>
      <c r="J1047" s="44">
        <v>202.21</v>
      </c>
      <c r="K1047" s="44">
        <v>204.32</v>
      </c>
      <c r="L1047" s="44">
        <v>199.48</v>
      </c>
      <c r="M1047" s="44">
        <v>203.87</v>
      </c>
      <c r="N1047" s="44">
        <v>2076350</v>
      </c>
      <c r="O1047" s="44" t="s">
        <v>869</v>
      </c>
      <c r="P1047" s="25">
        <f t="shared" si="33"/>
        <v>-8.1424437141315309E-3</v>
      </c>
    </row>
    <row r="1048" spans="2:16">
      <c r="B1048" s="44">
        <v>341.34362178373925</v>
      </c>
      <c r="C1048" s="44">
        <v>341.93833050488217</v>
      </c>
      <c r="D1048" s="44">
        <v>338.30293364499238</v>
      </c>
      <c r="E1048" s="44">
        <v>340.09665188456864</v>
      </c>
      <c r="F1048" s="44">
        <v>4641610.3579161009</v>
      </c>
      <c r="G1048" s="44" t="s">
        <v>870</v>
      </c>
      <c r="H1048" s="25">
        <f t="shared" si="34"/>
        <v>3.6665162454871947E-3</v>
      </c>
      <c r="J1048" s="44">
        <v>206.28</v>
      </c>
      <c r="K1048" s="44">
        <v>207.43</v>
      </c>
      <c r="L1048" s="44">
        <v>203.45500000000001</v>
      </c>
      <c r="M1048" s="44">
        <v>206.75</v>
      </c>
      <c r="N1048" s="44">
        <v>2801104</v>
      </c>
      <c r="O1048" s="44" t="s">
        <v>870</v>
      </c>
      <c r="P1048" s="25">
        <f t="shared" si="33"/>
        <v>-2.2732769044739864E-3</v>
      </c>
    </row>
    <row r="1049" spans="2:16">
      <c r="B1049" s="44">
        <v>344.04858725732481</v>
      </c>
      <c r="C1049" s="44">
        <v>349.1227955393345</v>
      </c>
      <c r="D1049" s="44">
        <v>342.82080151044909</v>
      </c>
      <c r="E1049" s="44">
        <v>346.42742214189644</v>
      </c>
      <c r="F1049" s="44">
        <v>3969380.4985124967</v>
      </c>
      <c r="G1049" s="44" t="s">
        <v>871</v>
      </c>
      <c r="H1049" s="25">
        <f t="shared" si="34"/>
        <v>-6.8667626536713655E-3</v>
      </c>
      <c r="J1049" s="44">
        <v>209.62</v>
      </c>
      <c r="K1049" s="44">
        <v>215.49</v>
      </c>
      <c r="L1049" s="44">
        <v>209.17</v>
      </c>
      <c r="M1049" s="44">
        <v>211</v>
      </c>
      <c r="N1049" s="44">
        <v>2117547</v>
      </c>
      <c r="O1049" s="44" t="s">
        <v>871</v>
      </c>
      <c r="P1049" s="25">
        <f t="shared" si="33"/>
        <v>-6.5402843601894967E-3</v>
      </c>
    </row>
    <row r="1050" spans="2:16">
      <c r="B1050" s="44">
        <v>347.93337809704872</v>
      </c>
      <c r="C1050" s="44">
        <v>349.31463706228385</v>
      </c>
      <c r="D1050" s="44">
        <v>344.86391372985941</v>
      </c>
      <c r="E1050" s="44">
        <v>347.78949695483664</v>
      </c>
      <c r="F1050" s="44">
        <v>3706715.7780426233</v>
      </c>
      <c r="G1050" s="44" t="s">
        <v>872</v>
      </c>
      <c r="H1050" s="25">
        <f t="shared" si="34"/>
        <v>4.1370180374000753E-4</v>
      </c>
      <c r="J1050" s="44">
        <v>210.78</v>
      </c>
      <c r="K1050" s="44">
        <v>212.98</v>
      </c>
      <c r="L1050" s="44">
        <v>208.55500000000001</v>
      </c>
      <c r="M1050" s="44">
        <v>210.78</v>
      </c>
      <c r="N1050" s="44">
        <v>1490897</v>
      </c>
      <c r="O1050" s="44" t="s">
        <v>872</v>
      </c>
      <c r="P1050" s="25">
        <f t="shared" si="33"/>
        <v>0</v>
      </c>
    </row>
    <row r="1051" spans="2:16">
      <c r="B1051" s="44">
        <v>346.63844781714073</v>
      </c>
      <c r="C1051" s="44">
        <v>355.41519749207242</v>
      </c>
      <c r="D1051" s="44">
        <v>345.58341536168086</v>
      </c>
      <c r="E1051" s="44">
        <v>354.27374043052396</v>
      </c>
      <c r="F1051" s="44">
        <v>5785164.6658015018</v>
      </c>
      <c r="G1051" s="44" t="s">
        <v>873</v>
      </c>
      <c r="H1051" s="25">
        <f t="shared" si="34"/>
        <v>-2.1551957545892564E-2</v>
      </c>
      <c r="J1051" s="44">
        <v>211.4</v>
      </c>
      <c r="K1051" s="44">
        <v>216.72499999999999</v>
      </c>
      <c r="L1051" s="44">
        <v>210.88</v>
      </c>
      <c r="M1051" s="44">
        <v>214.62</v>
      </c>
      <c r="N1051" s="44">
        <v>2375326</v>
      </c>
      <c r="O1051" s="44" t="s">
        <v>873</v>
      </c>
      <c r="P1051" s="25">
        <f t="shared" si="33"/>
        <v>-1.5003261578603988E-2</v>
      </c>
    </row>
    <row r="1052" spans="2:16">
      <c r="B1052" s="44">
        <v>362.44618930816534</v>
      </c>
      <c r="C1052" s="44">
        <v>363.06967425775065</v>
      </c>
      <c r="D1052" s="44">
        <v>360.19205141351074</v>
      </c>
      <c r="E1052" s="44">
        <v>360.48940577408217</v>
      </c>
      <c r="F1052" s="44">
        <v>3087292.0048515219</v>
      </c>
      <c r="G1052" s="44" t="s">
        <v>874</v>
      </c>
      <c r="H1052" s="25">
        <f t="shared" si="34"/>
        <v>5.4281304879997272E-3</v>
      </c>
      <c r="J1052" s="44">
        <v>222.02</v>
      </c>
      <c r="K1052" s="44">
        <v>223.41</v>
      </c>
      <c r="L1052" s="44">
        <v>219.41</v>
      </c>
      <c r="M1052" s="44">
        <v>220.76</v>
      </c>
      <c r="N1052" s="44">
        <v>1313619</v>
      </c>
      <c r="O1052" s="44" t="s">
        <v>874</v>
      </c>
      <c r="P1052" s="25">
        <f t="shared" si="33"/>
        <v>5.70755571661552E-3</v>
      </c>
    </row>
    <row r="1053" spans="2:16">
      <c r="B1053" s="44">
        <v>358.50384601155662</v>
      </c>
      <c r="C1053" s="44">
        <v>359.32876456023877</v>
      </c>
      <c r="D1053" s="44">
        <v>354.88763330396182</v>
      </c>
      <c r="E1053" s="44">
        <v>355.13702728379593</v>
      </c>
      <c r="F1053" s="44">
        <v>2733048.5701913922</v>
      </c>
      <c r="G1053" s="44" t="s">
        <v>875</v>
      </c>
      <c r="H1053" s="25">
        <f t="shared" si="34"/>
        <v>9.4803370786515906E-3</v>
      </c>
      <c r="J1053" s="44">
        <v>221.32</v>
      </c>
      <c r="K1053" s="44">
        <v>221.89</v>
      </c>
      <c r="L1053" s="44">
        <v>215.45</v>
      </c>
      <c r="M1053" s="44">
        <v>215.86</v>
      </c>
      <c r="N1053" s="44">
        <v>1900498</v>
      </c>
      <c r="O1053" s="44" t="s">
        <v>875</v>
      </c>
      <c r="P1053" s="25">
        <f t="shared" si="33"/>
        <v>2.5294172148614846E-2</v>
      </c>
    </row>
    <row r="1054" spans="2:16">
      <c r="B1054" s="44">
        <v>353.05554675979573</v>
      </c>
      <c r="C1054" s="44">
        <v>353.44882188184187</v>
      </c>
      <c r="D1054" s="44">
        <v>347.4921425942652</v>
      </c>
      <c r="E1054" s="44">
        <v>348.55206700856024</v>
      </c>
      <c r="F1054" s="44">
        <v>3849048.8849749132</v>
      </c>
      <c r="G1054" s="44" t="s">
        <v>876</v>
      </c>
      <c r="H1054" s="25">
        <f t="shared" si="34"/>
        <v>1.2920536635707025E-2</v>
      </c>
      <c r="J1054" s="44">
        <v>214.78</v>
      </c>
      <c r="K1054" s="44">
        <v>217.39</v>
      </c>
      <c r="L1054" s="44">
        <v>207.755</v>
      </c>
      <c r="M1054" s="44">
        <v>207.755</v>
      </c>
      <c r="N1054" s="44">
        <v>1827344</v>
      </c>
      <c r="O1054" s="44" t="s">
        <v>876</v>
      </c>
      <c r="P1054" s="25">
        <f t="shared" si="33"/>
        <v>3.3813867295612754E-2</v>
      </c>
    </row>
    <row r="1055" spans="2:16">
      <c r="B1055" s="44">
        <v>350.76304056055125</v>
      </c>
      <c r="C1055" s="44">
        <v>351.42968985280015</v>
      </c>
      <c r="D1055" s="44">
        <v>344.05856301651818</v>
      </c>
      <c r="E1055" s="44">
        <v>344.22124462797916</v>
      </c>
      <c r="F1055" s="44">
        <v>4312883.8182677617</v>
      </c>
      <c r="G1055" s="44" t="s">
        <v>877</v>
      </c>
      <c r="H1055" s="25">
        <f t="shared" si="34"/>
        <v>1.9004625759349025E-2</v>
      </c>
      <c r="J1055" s="44">
        <v>210.87</v>
      </c>
      <c r="K1055" s="44">
        <v>211.37</v>
      </c>
      <c r="L1055" s="44">
        <v>202.44</v>
      </c>
      <c r="M1055" s="44">
        <v>203.36</v>
      </c>
      <c r="N1055" s="44">
        <v>1732451</v>
      </c>
      <c r="O1055" s="44" t="s">
        <v>877</v>
      </c>
      <c r="P1055" s="25">
        <f t="shared" si="33"/>
        <v>3.6929583005507416E-2</v>
      </c>
    </row>
    <row r="1056" spans="2:16">
      <c r="B1056" s="44">
        <v>344.58574352158291</v>
      </c>
      <c r="C1056" s="44">
        <v>347.50173467041265</v>
      </c>
      <c r="D1056" s="44">
        <v>342.43711846455045</v>
      </c>
      <c r="E1056" s="44">
        <v>346.61926366484579</v>
      </c>
      <c r="F1056" s="44">
        <v>5921880.6363420794</v>
      </c>
      <c r="G1056" s="44" t="s">
        <v>878</v>
      </c>
      <c r="H1056" s="25">
        <f t="shared" si="34"/>
        <v>-5.8667257029001441E-3</v>
      </c>
      <c r="J1056" s="44">
        <v>202.3</v>
      </c>
      <c r="K1056" s="44">
        <v>205.38</v>
      </c>
      <c r="L1056" s="44">
        <v>201.15</v>
      </c>
      <c r="M1056" s="44">
        <v>204.34</v>
      </c>
      <c r="N1056" s="44">
        <v>1445539</v>
      </c>
      <c r="O1056" s="44" t="s">
        <v>878</v>
      </c>
      <c r="P1056" s="25">
        <f t="shared" si="33"/>
        <v>-9.9833610648918381E-3</v>
      </c>
    </row>
    <row r="1057" spans="2:16">
      <c r="B1057" s="44">
        <v>345.74638473542632</v>
      </c>
      <c r="C1057" s="44">
        <v>354.07230683142717</v>
      </c>
      <c r="D1057" s="44">
        <v>344.1445080187994</v>
      </c>
      <c r="E1057" s="44">
        <v>352.94044184602615</v>
      </c>
      <c r="F1057" s="44">
        <v>4737475.9438292067</v>
      </c>
      <c r="G1057" s="44" t="s">
        <v>879</v>
      </c>
      <c r="H1057" s="25">
        <f t="shared" si="34"/>
        <v>-2.0383204239706521E-2</v>
      </c>
      <c r="J1057" s="44">
        <v>203.67</v>
      </c>
      <c r="K1057" s="44">
        <v>209.37</v>
      </c>
      <c r="L1057" s="44">
        <v>202.04</v>
      </c>
      <c r="M1057" s="44">
        <v>207.72</v>
      </c>
      <c r="N1057" s="44">
        <v>1539871</v>
      </c>
      <c r="O1057" s="44" t="s">
        <v>879</v>
      </c>
      <c r="P1057" s="25">
        <f t="shared" si="33"/>
        <v>-1.9497400346620508E-2</v>
      </c>
    </row>
    <row r="1058" spans="2:16">
      <c r="B1058" s="44">
        <v>349.4105578237585</v>
      </c>
      <c r="C1058" s="44">
        <v>349.82301709809957</v>
      </c>
      <c r="D1058" s="44">
        <v>343.88552196281785</v>
      </c>
      <c r="E1058" s="44">
        <v>346.36986968501168</v>
      </c>
      <c r="F1058" s="44">
        <v>6387395.0809057234</v>
      </c>
      <c r="G1058" s="44" t="s">
        <v>880</v>
      </c>
      <c r="H1058" s="25">
        <f t="shared" si="34"/>
        <v>8.7787316532814685E-3</v>
      </c>
      <c r="J1058" s="44">
        <v>206.11</v>
      </c>
      <c r="K1058" s="44">
        <v>206.44</v>
      </c>
      <c r="L1058" s="44">
        <v>200.18700000000001</v>
      </c>
      <c r="M1058" s="44">
        <v>203.85</v>
      </c>
      <c r="N1058" s="44">
        <v>1500838</v>
      </c>
      <c r="O1058" s="44" t="s">
        <v>880</v>
      </c>
      <c r="P1058" s="25">
        <f t="shared" si="33"/>
        <v>1.1086583272013728E-2</v>
      </c>
    </row>
    <row r="1059" spans="2:16">
      <c r="B1059" s="44">
        <v>348.33624529524224</v>
      </c>
      <c r="C1059" s="44">
        <v>353.74617624241336</v>
      </c>
      <c r="D1059" s="44">
        <v>348.29787699065241</v>
      </c>
      <c r="E1059" s="44">
        <v>352.61431125701228</v>
      </c>
      <c r="F1059" s="44">
        <v>4235307.2864971552</v>
      </c>
      <c r="G1059" s="44" t="s">
        <v>881</v>
      </c>
      <c r="H1059" s="25">
        <f t="shared" si="34"/>
        <v>-1.2132422948233246E-2</v>
      </c>
      <c r="J1059" s="44">
        <v>205.74</v>
      </c>
      <c r="K1059" s="44">
        <v>210.48</v>
      </c>
      <c r="L1059" s="44">
        <v>205.1875</v>
      </c>
      <c r="M1059" s="44">
        <v>208.51</v>
      </c>
      <c r="N1059" s="44">
        <v>1867001</v>
      </c>
      <c r="O1059" s="44" t="s">
        <v>881</v>
      </c>
      <c r="P1059" s="25">
        <f t="shared" si="33"/>
        <v>-1.3284734545105703E-2</v>
      </c>
    </row>
    <row r="1060" spans="2:16">
      <c r="B1060" s="44">
        <v>351.09876322571256</v>
      </c>
      <c r="C1060" s="44">
        <v>356.29287245956561</v>
      </c>
      <c r="D1060" s="44">
        <v>349.17075592007183</v>
      </c>
      <c r="E1060" s="44">
        <v>356.15378735542737</v>
      </c>
      <c r="F1060" s="44">
        <v>5259065.8398103286</v>
      </c>
      <c r="G1060" s="44" t="s">
        <v>882</v>
      </c>
      <c r="H1060" s="25">
        <f t="shared" si="34"/>
        <v>-1.4193374629679512E-2</v>
      </c>
      <c r="J1060" s="44">
        <v>206.5</v>
      </c>
      <c r="K1060" s="44">
        <v>211.75</v>
      </c>
      <c r="L1060" s="44">
        <v>205.38</v>
      </c>
      <c r="M1060" s="44">
        <v>210.12</v>
      </c>
      <c r="N1060" s="44">
        <v>1562918</v>
      </c>
      <c r="O1060" s="44" t="s">
        <v>882</v>
      </c>
      <c r="P1060" s="25">
        <f t="shared" si="33"/>
        <v>-1.7228250523510402E-2</v>
      </c>
    </row>
    <row r="1061" spans="2:16">
      <c r="B1061" s="44">
        <v>354.95477783699408</v>
      </c>
      <c r="C1061" s="44">
        <v>357.83240068123399</v>
      </c>
      <c r="D1061" s="44">
        <v>353.7365841662658</v>
      </c>
      <c r="E1061" s="44">
        <v>354.68619970486498</v>
      </c>
      <c r="F1061" s="44">
        <v>5163802.8346014554</v>
      </c>
      <c r="G1061" s="44" t="s">
        <v>883</v>
      </c>
      <c r="H1061" s="25">
        <f t="shared" si="34"/>
        <v>7.5722746572215449E-4</v>
      </c>
      <c r="J1061" s="44">
        <v>208.9</v>
      </c>
      <c r="K1061" s="44">
        <v>211.68</v>
      </c>
      <c r="L1061" s="44">
        <v>207.84</v>
      </c>
      <c r="M1061" s="44">
        <v>209.27</v>
      </c>
      <c r="N1061" s="44">
        <v>1871924</v>
      </c>
      <c r="O1061" s="44" t="s">
        <v>883</v>
      </c>
      <c r="P1061" s="25">
        <f t="shared" si="33"/>
        <v>-1.7680508434080311E-3</v>
      </c>
    </row>
    <row r="1062" spans="2:16">
      <c r="B1062" s="44">
        <v>357.31442856927077</v>
      </c>
      <c r="C1062" s="44">
        <v>370.3020996729403</v>
      </c>
      <c r="D1062" s="44">
        <v>357.31442856927077</v>
      </c>
      <c r="E1062" s="44">
        <v>369.82249586556702</v>
      </c>
      <c r="F1062" s="44">
        <v>5372309.3111193962</v>
      </c>
      <c r="G1062" s="44" t="s">
        <v>884</v>
      </c>
      <c r="H1062" s="25">
        <f t="shared" si="34"/>
        <v>-3.3821812994423772E-2</v>
      </c>
      <c r="J1062" s="44">
        <v>211.09</v>
      </c>
      <c r="K1062" s="44">
        <v>225.38</v>
      </c>
      <c r="L1062" s="44">
        <v>210.94</v>
      </c>
      <c r="M1062" s="44">
        <v>224.57</v>
      </c>
      <c r="N1062" s="44">
        <v>2475058</v>
      </c>
      <c r="O1062" s="44" t="s">
        <v>884</v>
      </c>
      <c r="P1062" s="25">
        <f t="shared" si="33"/>
        <v>-6.0025827136304888E-2</v>
      </c>
    </row>
    <row r="1063" spans="2:16">
      <c r="B1063" s="44">
        <v>369.99515323622143</v>
      </c>
      <c r="C1063" s="44">
        <v>369.99515323622143</v>
      </c>
      <c r="D1063" s="44">
        <v>365.17033893404579</v>
      </c>
      <c r="E1063" s="44">
        <v>366.18709900567723</v>
      </c>
      <c r="F1063" s="44">
        <v>2743191.3170278734</v>
      </c>
      <c r="G1063" s="44" t="s">
        <v>885</v>
      </c>
      <c r="H1063" s="25">
        <f t="shared" si="34"/>
        <v>1.0399203688181258E-2</v>
      </c>
      <c r="J1063" s="44">
        <v>225.02</v>
      </c>
      <c r="K1063" s="44">
        <v>225.12</v>
      </c>
      <c r="L1063" s="44">
        <v>220.9</v>
      </c>
      <c r="M1063" s="44">
        <v>222.84</v>
      </c>
      <c r="N1063" s="44">
        <v>1302566</v>
      </c>
      <c r="O1063" s="44" t="s">
        <v>885</v>
      </c>
      <c r="P1063" s="25">
        <f t="shared" si="33"/>
        <v>9.7828038054210698E-3</v>
      </c>
    </row>
    <row r="1064" spans="2:16">
      <c r="B1064" s="44">
        <v>364.68114305052501</v>
      </c>
      <c r="C1064" s="44">
        <v>366.01444163502282</v>
      </c>
      <c r="D1064" s="44">
        <v>362.75313574488428</v>
      </c>
      <c r="E1064" s="44">
        <v>363.44376522750184</v>
      </c>
      <c r="F1064" s="44">
        <v>2336558.807023223</v>
      </c>
      <c r="G1064" s="44" t="s">
        <v>886</v>
      </c>
      <c r="H1064" s="25">
        <f t="shared" si="34"/>
        <v>3.4045922406966689E-3</v>
      </c>
      <c r="J1064" s="44">
        <v>220.47</v>
      </c>
      <c r="K1064" s="44">
        <v>222.6</v>
      </c>
      <c r="L1064" s="44">
        <v>217.94</v>
      </c>
      <c r="M1064" s="44">
        <v>218.19</v>
      </c>
      <c r="N1064" s="44">
        <v>1798934</v>
      </c>
      <c r="O1064" s="44" t="s">
        <v>886</v>
      </c>
      <c r="P1064" s="25">
        <f t="shared" si="33"/>
        <v>1.0449608139694755E-2</v>
      </c>
    </row>
    <row r="1065" spans="2:16">
      <c r="B1065" s="44">
        <v>363.57805429356637</v>
      </c>
      <c r="C1065" s="44">
        <v>366.29261184329937</v>
      </c>
      <c r="D1065" s="44">
        <v>363.08243171902677</v>
      </c>
      <c r="E1065" s="44">
        <v>364.07684225323464</v>
      </c>
      <c r="F1065" s="44">
        <v>2991202.2755968752</v>
      </c>
      <c r="G1065" s="44" t="s">
        <v>887</v>
      </c>
      <c r="H1065" s="25">
        <f t="shared" si="34"/>
        <v>-1.3700073769629117E-3</v>
      </c>
      <c r="J1065" s="44">
        <v>216.81</v>
      </c>
      <c r="K1065" s="44">
        <v>218.51499999999999</v>
      </c>
      <c r="L1065" s="44">
        <v>214.86</v>
      </c>
      <c r="M1065" s="44">
        <v>216.99</v>
      </c>
      <c r="N1065" s="44">
        <v>1912791</v>
      </c>
      <c r="O1065" s="44" t="s">
        <v>887</v>
      </c>
      <c r="P1065" s="25">
        <f t="shared" si="33"/>
        <v>-8.2953131480711928E-4</v>
      </c>
    </row>
    <row r="1066" spans="2:16">
      <c r="B1066" s="44">
        <v>364.44134114683834</v>
      </c>
      <c r="C1066" s="44">
        <v>367.89448855992629</v>
      </c>
      <c r="D1066" s="44">
        <v>363.62601467430369</v>
      </c>
      <c r="E1066" s="44">
        <v>367.78897572230414</v>
      </c>
      <c r="F1066" s="44">
        <v>4330363.8713263776</v>
      </c>
      <c r="G1066" s="44" t="s">
        <v>888</v>
      </c>
      <c r="H1066" s="25">
        <f t="shared" si="34"/>
        <v>-9.1020525258848073E-3</v>
      </c>
      <c r="J1066" s="44">
        <v>218.54</v>
      </c>
      <c r="K1066" s="44">
        <v>222.51</v>
      </c>
      <c r="L1066" s="44">
        <v>217.01</v>
      </c>
      <c r="M1066" s="44">
        <v>221.13</v>
      </c>
      <c r="N1066" s="44">
        <v>2130844</v>
      </c>
      <c r="O1066" s="44" t="s">
        <v>888</v>
      </c>
      <c r="P1066" s="25">
        <f t="shared" si="33"/>
        <v>-1.1712567268122864E-2</v>
      </c>
    </row>
    <row r="1067" spans="2:16">
      <c r="B1067" s="44">
        <v>372.28765943546586</v>
      </c>
      <c r="C1067" s="44">
        <v>375.00221698519886</v>
      </c>
      <c r="D1067" s="44">
        <v>371.45314881063626</v>
      </c>
      <c r="E1067" s="44">
        <v>374.76241508151219</v>
      </c>
      <c r="F1067" s="44">
        <v>3022317.5415113182</v>
      </c>
      <c r="G1067" s="44" t="s">
        <v>889</v>
      </c>
      <c r="H1067" s="25">
        <f t="shared" si="34"/>
        <v>-6.6035321218326226E-3</v>
      </c>
      <c r="J1067" s="44">
        <v>224.78</v>
      </c>
      <c r="K1067" s="44">
        <v>227.95</v>
      </c>
      <c r="L1067" s="44">
        <v>223.55500000000001</v>
      </c>
      <c r="M1067" s="44">
        <v>227.36</v>
      </c>
      <c r="N1067" s="44">
        <v>2033278</v>
      </c>
      <c r="O1067" s="44" t="s">
        <v>889</v>
      </c>
      <c r="P1067" s="25">
        <f t="shared" si="33"/>
        <v>-1.1347642505277977E-2</v>
      </c>
    </row>
    <row r="1068" spans="2:16">
      <c r="B1068" s="44">
        <v>377.49615678354013</v>
      </c>
      <c r="C1068" s="44">
        <v>377.94698436247103</v>
      </c>
      <c r="D1068" s="44">
        <v>375.21324266044314</v>
      </c>
      <c r="E1068" s="44">
        <v>376.41225217887643</v>
      </c>
      <c r="F1068" s="44">
        <v>3396637.9644104186</v>
      </c>
      <c r="G1068" s="44" t="s">
        <v>890</v>
      </c>
      <c r="H1068" s="25">
        <f t="shared" si="34"/>
        <v>2.8795678099995392E-3</v>
      </c>
      <c r="J1068" s="44">
        <v>229.59</v>
      </c>
      <c r="K1068" s="44">
        <v>231.34</v>
      </c>
      <c r="L1068" s="44">
        <v>226.82</v>
      </c>
      <c r="M1068" s="44">
        <v>230.79</v>
      </c>
      <c r="N1068" s="44">
        <v>1356873</v>
      </c>
      <c r="O1068" s="44" t="s">
        <v>890</v>
      </c>
      <c r="P1068" s="25">
        <f t="shared" ref="P1068:P1131" si="35">J1068/M1068-1</f>
        <v>-5.1995320421162061E-3</v>
      </c>
    </row>
    <row r="1069" spans="2:16">
      <c r="B1069" s="44">
        <v>376.33551556969667</v>
      </c>
      <c r="C1069" s="44">
        <v>378.74312668271074</v>
      </c>
      <c r="D1069" s="44">
        <v>374.37211350307177</v>
      </c>
      <c r="E1069" s="44">
        <v>375.58733363019428</v>
      </c>
      <c r="F1069" s="44">
        <v>3359361.362921549</v>
      </c>
      <c r="G1069" s="44" t="s">
        <v>891</v>
      </c>
      <c r="H1069" s="25">
        <f t="shared" si="34"/>
        <v>1.9920318725099584E-3</v>
      </c>
      <c r="J1069" s="44">
        <v>229.71</v>
      </c>
      <c r="K1069" s="44">
        <v>232.47</v>
      </c>
      <c r="L1069" s="44">
        <v>228.35</v>
      </c>
      <c r="M1069" s="44">
        <v>230.71</v>
      </c>
      <c r="N1069" s="44">
        <v>1355160</v>
      </c>
      <c r="O1069" s="44" t="s">
        <v>891</v>
      </c>
      <c r="P1069" s="25">
        <f t="shared" si="35"/>
        <v>-4.3344458410992104E-3</v>
      </c>
    </row>
    <row r="1070" spans="2:16">
      <c r="B1070" s="44">
        <v>378.92537612951264</v>
      </c>
      <c r="C1070" s="44">
        <v>380.69991021679385</v>
      </c>
      <c r="D1070" s="44">
        <v>376.43143633117131</v>
      </c>
      <c r="E1070" s="44">
        <v>377.19880242296864</v>
      </c>
      <c r="F1070" s="44">
        <v>4029210.0902689784</v>
      </c>
      <c r="G1070" s="44" t="s">
        <v>892</v>
      </c>
      <c r="H1070" s="25">
        <f t="shared" si="34"/>
        <v>4.5773573390297528E-3</v>
      </c>
      <c r="J1070" s="44">
        <v>233.71</v>
      </c>
      <c r="K1070" s="44">
        <v>236.95</v>
      </c>
      <c r="L1070" s="44">
        <v>231.51</v>
      </c>
      <c r="M1070" s="44">
        <v>235.9</v>
      </c>
      <c r="N1070" s="44">
        <v>1646995</v>
      </c>
      <c r="O1070" s="44" t="s">
        <v>892</v>
      </c>
      <c r="P1070" s="25">
        <f t="shared" si="35"/>
        <v>-9.2835947435353505E-3</v>
      </c>
    </row>
    <row r="1071" spans="2:16">
      <c r="B1071" s="44">
        <v>378.26352287533746</v>
      </c>
      <c r="C1071" s="44">
        <v>378.65679799738353</v>
      </c>
      <c r="D1071" s="44">
        <v>374.53220525397296</v>
      </c>
      <c r="E1071" s="44">
        <v>374.5609814824154</v>
      </c>
      <c r="F1071" s="44">
        <v>3340187.2032117578</v>
      </c>
      <c r="G1071" s="44" t="s">
        <v>893</v>
      </c>
      <c r="H1071" s="25">
        <f t="shared" si="34"/>
        <v>9.8850162616201942E-3</v>
      </c>
      <c r="J1071" s="44">
        <v>238.26</v>
      </c>
      <c r="K1071" s="44">
        <v>239.64</v>
      </c>
      <c r="L1071" s="44">
        <v>235.81</v>
      </c>
      <c r="M1071" s="44">
        <v>237.03</v>
      </c>
      <c r="N1071" s="44">
        <v>1384090</v>
      </c>
      <c r="O1071" s="44" t="s">
        <v>893</v>
      </c>
      <c r="P1071" s="25">
        <f t="shared" si="35"/>
        <v>5.1892165548663716E-3</v>
      </c>
    </row>
    <row r="1072" spans="2:16">
      <c r="B1072" s="44">
        <v>376.6520540825631</v>
      </c>
      <c r="C1072" s="44">
        <v>376.70001446330042</v>
      </c>
      <c r="D1072" s="44">
        <v>371.2996755922768</v>
      </c>
      <c r="E1072" s="44">
        <v>372.12459414095889</v>
      </c>
      <c r="F1072" s="44">
        <v>3820191.7329105902</v>
      </c>
      <c r="G1072" s="44" t="s">
        <v>894</v>
      </c>
      <c r="H1072" s="25">
        <f t="shared" si="34"/>
        <v>1.2166516303647512E-2</v>
      </c>
      <c r="J1072" s="44">
        <v>238.37</v>
      </c>
      <c r="K1072" s="44">
        <v>238.57</v>
      </c>
      <c r="L1072" s="44">
        <v>234.73</v>
      </c>
      <c r="M1072" s="44">
        <v>236.75</v>
      </c>
      <c r="N1072" s="44">
        <v>1744533</v>
      </c>
      <c r="O1072" s="44" t="s">
        <v>894</v>
      </c>
      <c r="P1072" s="25">
        <f t="shared" si="35"/>
        <v>6.8426610348468753E-3</v>
      </c>
    </row>
    <row r="1073" spans="2:16">
      <c r="B1073" s="44">
        <v>370.3116917490878</v>
      </c>
      <c r="C1073" s="44">
        <v>374.71445470077481</v>
      </c>
      <c r="D1073" s="44">
        <v>369.678614723355</v>
      </c>
      <c r="E1073" s="44">
        <v>373.00706514652586</v>
      </c>
      <c r="F1073" s="44">
        <v>3727420.3676379067</v>
      </c>
      <c r="G1073" s="44" t="s">
        <v>895</v>
      </c>
      <c r="H1073" s="25">
        <f t="shared" si="34"/>
        <v>-7.226065266027204E-3</v>
      </c>
      <c r="J1073" s="44">
        <v>236.02</v>
      </c>
      <c r="K1073" s="44">
        <v>242.56</v>
      </c>
      <c r="L1073" s="44">
        <v>235.23</v>
      </c>
      <c r="M1073" s="44">
        <v>238.38</v>
      </c>
      <c r="N1073" s="44">
        <v>1625052</v>
      </c>
      <c r="O1073" s="44" t="s">
        <v>895</v>
      </c>
      <c r="P1073" s="25">
        <f t="shared" si="35"/>
        <v>-9.9001594093464096E-3</v>
      </c>
    </row>
    <row r="1074" spans="2:16">
      <c r="B1074" s="44">
        <v>370.3116917490878</v>
      </c>
      <c r="C1074" s="44">
        <v>370.47475704359471</v>
      </c>
      <c r="D1074" s="44">
        <v>367.47243720943777</v>
      </c>
      <c r="E1074" s="44">
        <v>369.28533960130886</v>
      </c>
      <c r="F1074" s="44">
        <v>3806258.3572841571</v>
      </c>
      <c r="G1074" s="44" t="s">
        <v>896</v>
      </c>
      <c r="H1074" s="25">
        <f t="shared" si="34"/>
        <v>2.779292968648539E-3</v>
      </c>
      <c r="J1074" s="44">
        <v>237.85</v>
      </c>
      <c r="K1074" s="44">
        <v>240.79</v>
      </c>
      <c r="L1074" s="44">
        <v>236.63</v>
      </c>
      <c r="M1074" s="44">
        <v>239.76</v>
      </c>
      <c r="N1074" s="44">
        <v>1942971</v>
      </c>
      <c r="O1074" s="44" t="s">
        <v>896</v>
      </c>
      <c r="P1074" s="25">
        <f t="shared" si="35"/>
        <v>-7.966299632966245E-3</v>
      </c>
    </row>
    <row r="1075" spans="2:16">
      <c r="B1075" s="44">
        <v>362.71476744029439</v>
      </c>
      <c r="C1075" s="44">
        <v>363.93296111102262</v>
      </c>
      <c r="D1075" s="44">
        <v>361.7171915209579</v>
      </c>
      <c r="E1075" s="44">
        <v>363.55887014127143</v>
      </c>
      <c r="F1075" s="44">
        <v>2460910.4053281485</v>
      </c>
      <c r="G1075" s="44" t="s">
        <v>897</v>
      </c>
      <c r="H1075" s="25">
        <f t="shared" si="34"/>
        <v>-2.3217772149226601E-3</v>
      </c>
      <c r="J1075" s="44">
        <v>232.88</v>
      </c>
      <c r="K1075" s="44">
        <v>238.68</v>
      </c>
      <c r="L1075" s="44">
        <v>232.435</v>
      </c>
      <c r="M1075" s="44">
        <v>238.16</v>
      </c>
      <c r="N1075" s="44">
        <v>1532477</v>
      </c>
      <c r="O1075" s="44" t="s">
        <v>897</v>
      </c>
      <c r="P1075" s="25">
        <f t="shared" si="35"/>
        <v>-2.2169969768223052E-2</v>
      </c>
    </row>
    <row r="1076" spans="2:16">
      <c r="B1076" s="44">
        <v>364.15357886241435</v>
      </c>
      <c r="C1076" s="44">
        <v>368.24632591301531</v>
      </c>
      <c r="D1076" s="44">
        <v>363.12722671463541</v>
      </c>
      <c r="E1076" s="44">
        <v>366.20628315797211</v>
      </c>
      <c r="F1076" s="44">
        <v>3602294.1716457056</v>
      </c>
      <c r="G1076" s="44" t="s">
        <v>898</v>
      </c>
      <c r="H1076" s="25">
        <f t="shared" si="34"/>
        <v>-5.605322437005511E-3</v>
      </c>
      <c r="J1076" s="44">
        <v>239.13</v>
      </c>
      <c r="K1076" s="44">
        <v>245.36</v>
      </c>
      <c r="L1076" s="44">
        <v>238.64</v>
      </c>
      <c r="M1076" s="44">
        <v>241</v>
      </c>
      <c r="N1076" s="44">
        <v>2216193</v>
      </c>
      <c r="O1076" s="44" t="s">
        <v>898</v>
      </c>
      <c r="P1076" s="25">
        <f t="shared" si="35"/>
        <v>-7.7593360995851235E-3</v>
      </c>
    </row>
    <row r="1077" spans="2:16">
      <c r="B1077" s="44">
        <v>364.47970945142822</v>
      </c>
      <c r="C1077" s="44">
        <v>365.17033893404579</v>
      </c>
      <c r="D1077" s="44">
        <v>361.1800352566998</v>
      </c>
      <c r="E1077" s="44">
        <v>361.28554809432188</v>
      </c>
      <c r="F1077" s="44">
        <v>2973381.3161536842</v>
      </c>
      <c r="G1077" s="44" t="s">
        <v>899</v>
      </c>
      <c r="H1077" s="25">
        <f t="shared" si="34"/>
        <v>8.8410991636798109E-3</v>
      </c>
      <c r="J1077" s="44">
        <v>240.32</v>
      </c>
      <c r="K1077" s="44">
        <v>241.68</v>
      </c>
      <c r="L1077" s="44">
        <v>236.55</v>
      </c>
      <c r="M1077" s="44">
        <v>237.68</v>
      </c>
      <c r="N1077" s="44">
        <v>1861078</v>
      </c>
      <c r="O1077" s="44" t="s">
        <v>899</v>
      </c>
      <c r="P1077" s="25">
        <f t="shared" si="35"/>
        <v>1.1107371255469456E-2</v>
      </c>
    </row>
    <row r="1078" spans="2:16">
      <c r="B1078" s="44">
        <v>365.23748346707805</v>
      </c>
      <c r="C1078" s="44">
        <v>365.9664812542855</v>
      </c>
      <c r="D1078" s="44">
        <v>363.72193543577833</v>
      </c>
      <c r="E1078" s="44">
        <v>365.34299630470019</v>
      </c>
      <c r="F1078" s="44">
        <v>3555675.4841868789</v>
      </c>
      <c r="G1078" s="44" t="s">
        <v>900</v>
      </c>
      <c r="H1078" s="25">
        <f t="shared" si="34"/>
        <v>-2.888048729259296E-4</v>
      </c>
      <c r="J1078" s="44">
        <v>242.46</v>
      </c>
      <c r="K1078" s="44">
        <v>242.92</v>
      </c>
      <c r="L1078" s="44">
        <v>239.61</v>
      </c>
      <c r="M1078" s="44">
        <v>242.07</v>
      </c>
      <c r="N1078" s="44">
        <v>1180534</v>
      </c>
      <c r="O1078" s="44" t="s">
        <v>900</v>
      </c>
      <c r="P1078" s="25">
        <f t="shared" si="35"/>
        <v>1.611104226050486E-3</v>
      </c>
    </row>
    <row r="1079" spans="2:16">
      <c r="B1079" s="44">
        <v>365.52524575150204</v>
      </c>
      <c r="C1079" s="44">
        <v>366.5132295946911</v>
      </c>
      <c r="D1079" s="44">
        <v>361.53494207415605</v>
      </c>
      <c r="E1079" s="44">
        <v>361.8035202062851</v>
      </c>
      <c r="F1079" s="44">
        <v>4018711.8416675427</v>
      </c>
      <c r="G1079" s="44" t="s">
        <v>901</v>
      </c>
      <c r="H1079" s="25">
        <f t="shared" si="34"/>
        <v>1.0286592963758334E-2</v>
      </c>
      <c r="J1079" s="44">
        <v>242.18</v>
      </c>
      <c r="K1079" s="44">
        <v>243.31</v>
      </c>
      <c r="L1079" s="44">
        <v>236.44</v>
      </c>
      <c r="M1079" s="44">
        <v>239.04</v>
      </c>
      <c r="N1079" s="44">
        <v>1802776</v>
      </c>
      <c r="O1079" s="44" t="s">
        <v>901</v>
      </c>
      <c r="P1079" s="25">
        <f t="shared" si="35"/>
        <v>1.313587684069617E-2</v>
      </c>
    </row>
    <row r="1080" spans="2:16">
      <c r="B1080" s="44">
        <v>359.90428912908669</v>
      </c>
      <c r="C1080" s="44">
        <v>364.14110916342264</v>
      </c>
      <c r="D1080" s="44">
        <v>358.69568753450596</v>
      </c>
      <c r="E1080" s="44">
        <v>360.76757598235872</v>
      </c>
      <c r="F1080" s="44">
        <v>4308335.2722252524</v>
      </c>
      <c r="G1080" s="44" t="s">
        <v>902</v>
      </c>
      <c r="H1080" s="25">
        <f t="shared" si="34"/>
        <v>-2.3929169657814775E-3</v>
      </c>
      <c r="J1080" s="44">
        <v>238.48</v>
      </c>
      <c r="K1080" s="44">
        <v>244.99</v>
      </c>
      <c r="L1080" s="44">
        <v>233.53</v>
      </c>
      <c r="M1080" s="44">
        <v>234.42500000000001</v>
      </c>
      <c r="N1080" s="44">
        <v>3274031</v>
      </c>
      <c r="O1080" s="44" t="s">
        <v>902</v>
      </c>
      <c r="P1080" s="25">
        <f t="shared" si="35"/>
        <v>1.7297643169457144E-2</v>
      </c>
    </row>
    <row r="1081" spans="2:16">
      <c r="B1081" s="44">
        <v>362.2447557090685</v>
      </c>
      <c r="C1081" s="44">
        <v>364.5084856798706</v>
      </c>
      <c r="D1081" s="44">
        <v>360.12490688047848</v>
      </c>
      <c r="E1081" s="44">
        <v>360.77716805850616</v>
      </c>
      <c r="F1081" s="44">
        <v>4609397.3108916963</v>
      </c>
      <c r="G1081" s="44" t="s">
        <v>903</v>
      </c>
      <c r="H1081" s="25">
        <f t="shared" si="34"/>
        <v>4.0678506859512797E-3</v>
      </c>
      <c r="J1081" s="44">
        <v>228.54</v>
      </c>
      <c r="K1081" s="44">
        <v>231.495</v>
      </c>
      <c r="L1081" s="44">
        <v>226.57</v>
      </c>
      <c r="M1081" s="44">
        <v>227.31</v>
      </c>
      <c r="N1081" s="44">
        <v>1333351</v>
      </c>
      <c r="O1081" s="44" t="s">
        <v>903</v>
      </c>
      <c r="P1081" s="25">
        <f t="shared" si="35"/>
        <v>5.411112577537347E-3</v>
      </c>
    </row>
    <row r="1082" spans="2:16">
      <c r="B1082" s="44">
        <v>363.3382523898797</v>
      </c>
      <c r="C1082" s="44">
        <v>364.17276301470929</v>
      </c>
      <c r="D1082" s="44">
        <v>358.67650338221102</v>
      </c>
      <c r="E1082" s="44">
        <v>359.44386947400835</v>
      </c>
      <c r="F1082" s="44">
        <v>5469528.0972991027</v>
      </c>
      <c r="G1082" s="44" t="s">
        <v>904</v>
      </c>
      <c r="H1082" s="25">
        <f t="shared" si="34"/>
        <v>1.0834467483254562E-2</v>
      </c>
      <c r="J1082" s="44">
        <v>230.17</v>
      </c>
      <c r="K1082" s="44">
        <v>230.95</v>
      </c>
      <c r="L1082" s="44">
        <v>227.01009999999999</v>
      </c>
      <c r="M1082" s="44">
        <v>228.65</v>
      </c>
      <c r="N1082" s="44">
        <v>1941447</v>
      </c>
      <c r="O1082" s="44" t="s">
        <v>904</v>
      </c>
      <c r="P1082" s="25">
        <f t="shared" si="35"/>
        <v>6.647714848020847E-3</v>
      </c>
    </row>
    <row r="1083" spans="2:16">
      <c r="B1083" s="44">
        <v>358.0913867372156</v>
      </c>
      <c r="C1083" s="44">
        <v>358.65731922991614</v>
      </c>
      <c r="D1083" s="44">
        <v>351.05080284497529</v>
      </c>
      <c r="E1083" s="44">
        <v>354.35047703970372</v>
      </c>
      <c r="F1083" s="44">
        <v>4530129.8000514256</v>
      </c>
      <c r="G1083" s="44" t="s">
        <v>905</v>
      </c>
      <c r="H1083" s="25">
        <f t="shared" si="34"/>
        <v>1.0557089491635585E-2</v>
      </c>
      <c r="J1083" s="44">
        <v>230.54</v>
      </c>
      <c r="K1083" s="44">
        <v>231.26</v>
      </c>
      <c r="L1083" s="44">
        <v>221.21</v>
      </c>
      <c r="M1083" s="44">
        <v>224.99</v>
      </c>
      <c r="N1083" s="44">
        <v>2218437</v>
      </c>
      <c r="O1083" s="44" t="s">
        <v>905</v>
      </c>
      <c r="P1083" s="25">
        <f t="shared" si="35"/>
        <v>2.4667763011689381E-2</v>
      </c>
    </row>
    <row r="1084" spans="2:16">
      <c r="B1084" s="44">
        <v>353.62147925249627</v>
      </c>
      <c r="C1084" s="44">
        <v>355.22335596912313</v>
      </c>
      <c r="D1084" s="44">
        <v>347.44466181733526</v>
      </c>
      <c r="E1084" s="44">
        <v>347.70316826950949</v>
      </c>
      <c r="F1084" s="44">
        <v>4691647.4919652054</v>
      </c>
      <c r="G1084" s="44" t="s">
        <v>906</v>
      </c>
      <c r="H1084" s="25">
        <f t="shared" si="34"/>
        <v>1.7021159204391845E-2</v>
      </c>
      <c r="J1084" s="44">
        <v>225.34</v>
      </c>
      <c r="K1084" s="44">
        <v>226.57</v>
      </c>
      <c r="L1084" s="44">
        <v>219.45</v>
      </c>
      <c r="M1084" s="44">
        <v>219.45</v>
      </c>
      <c r="N1084" s="44">
        <v>2535409</v>
      </c>
      <c r="O1084" s="44" t="s">
        <v>906</v>
      </c>
      <c r="P1084" s="25">
        <f t="shared" si="35"/>
        <v>2.6839826839826886E-2</v>
      </c>
    </row>
    <row r="1085" spans="2:16">
      <c r="B1085" s="44">
        <v>344.59533559773035</v>
      </c>
      <c r="C1085" s="44">
        <v>347.43459013738038</v>
      </c>
      <c r="D1085" s="44">
        <v>343.82806542669454</v>
      </c>
      <c r="E1085" s="44">
        <v>347.34826145205324</v>
      </c>
      <c r="F1085" s="44">
        <v>3114226.7368144495</v>
      </c>
      <c r="G1085" s="44" t="s">
        <v>907</v>
      </c>
      <c r="H1085" s="25">
        <f t="shared" si="34"/>
        <v>-7.925549541588528E-3</v>
      </c>
      <c r="J1085" s="44">
        <v>216.79</v>
      </c>
      <c r="K1085" s="44">
        <v>219.92</v>
      </c>
      <c r="L1085" s="44">
        <v>214.08</v>
      </c>
      <c r="M1085" s="44">
        <v>218.11</v>
      </c>
      <c r="N1085" s="44">
        <v>2376861</v>
      </c>
      <c r="O1085" s="44" t="s">
        <v>907</v>
      </c>
      <c r="P1085" s="25">
        <f t="shared" si="35"/>
        <v>-6.0519921140709254E-3</v>
      </c>
    </row>
    <row r="1086" spans="2:16">
      <c r="B1086" s="44">
        <v>348.77748079802575</v>
      </c>
      <c r="C1086" s="44">
        <v>349.5736231182654</v>
      </c>
      <c r="D1086" s="44">
        <v>346.70559235017294</v>
      </c>
      <c r="E1086" s="44">
        <v>348.99809854941742</v>
      </c>
      <c r="F1086" s="44">
        <v>4068180.7984090233</v>
      </c>
      <c r="G1086" s="44" t="s">
        <v>908</v>
      </c>
      <c r="H1086" s="25">
        <f t="shared" si="34"/>
        <v>-6.321459982407962E-4</v>
      </c>
      <c r="J1086" s="44">
        <v>219.17</v>
      </c>
      <c r="K1086" s="44">
        <v>221.8</v>
      </c>
      <c r="L1086" s="44">
        <v>212.27</v>
      </c>
      <c r="M1086" s="44">
        <v>213.21</v>
      </c>
      <c r="N1086" s="44">
        <v>3170937</v>
      </c>
      <c r="O1086" s="44" t="s">
        <v>908</v>
      </c>
      <c r="P1086" s="25">
        <f t="shared" si="35"/>
        <v>2.7953660710097861E-2</v>
      </c>
    </row>
    <row r="1087" spans="2:16">
      <c r="B1087" s="44">
        <v>348.43216605671694</v>
      </c>
      <c r="C1087" s="44">
        <v>352.834929008404</v>
      </c>
      <c r="D1087" s="44">
        <v>346.28354099968442</v>
      </c>
      <c r="E1087" s="44">
        <v>351.73184025144536</v>
      </c>
      <c r="F1087" s="44">
        <v>4726674.3198213149</v>
      </c>
      <c r="G1087" s="44" t="s">
        <v>909</v>
      </c>
      <c r="H1087" s="25">
        <f t="shared" si="34"/>
        <v>-9.3812211950148328E-3</v>
      </c>
      <c r="J1087" s="44">
        <v>211.85</v>
      </c>
      <c r="K1087" s="44">
        <v>217.49</v>
      </c>
      <c r="L1087" s="44">
        <v>203.31</v>
      </c>
      <c r="M1087" s="44">
        <v>207.44</v>
      </c>
      <c r="N1087" s="44">
        <v>6588323</v>
      </c>
      <c r="O1087" s="44" t="s">
        <v>909</v>
      </c>
      <c r="P1087" s="25">
        <f t="shared" si="35"/>
        <v>2.1259159274971129E-2</v>
      </c>
    </row>
    <row r="1088" spans="2:16">
      <c r="B1088" s="44">
        <v>351.63591948997066</v>
      </c>
      <c r="C1088" s="44">
        <v>351.6646957184131</v>
      </c>
      <c r="D1088" s="44">
        <v>345.3243333849378</v>
      </c>
      <c r="E1088" s="44">
        <v>347.57847127959241</v>
      </c>
      <c r="F1088" s="44">
        <v>4799773.1973969694</v>
      </c>
      <c r="G1088" s="44" t="s">
        <v>910</v>
      </c>
      <c r="H1088" s="25">
        <f t="shared" si="34"/>
        <v>1.1673473893365705E-2</v>
      </c>
      <c r="J1088" s="44">
        <v>224.75</v>
      </c>
      <c r="K1088" s="44">
        <v>225.44</v>
      </c>
      <c r="L1088" s="44">
        <v>219.58</v>
      </c>
      <c r="M1088" s="44">
        <v>220.91</v>
      </c>
      <c r="N1088" s="44">
        <v>2876925</v>
      </c>
      <c r="O1088" s="44" t="s">
        <v>910</v>
      </c>
      <c r="P1088" s="25">
        <f t="shared" si="35"/>
        <v>1.7382644515866241E-2</v>
      </c>
    </row>
    <row r="1089" spans="2:16">
      <c r="B1089" s="44">
        <v>348.11562754385056</v>
      </c>
      <c r="C1089" s="44">
        <v>349.3816856745546</v>
      </c>
      <c r="D1089" s="44">
        <v>344.7871771206797</v>
      </c>
      <c r="E1089" s="44">
        <v>345.98618663911299</v>
      </c>
      <c r="F1089" s="44">
        <v>4452254.0629830426</v>
      </c>
      <c r="G1089" s="44" t="s">
        <v>911</v>
      </c>
      <c r="H1089" s="25">
        <f t="shared" si="34"/>
        <v>6.1546991960079733E-3</v>
      </c>
      <c r="J1089" s="44">
        <v>219.22</v>
      </c>
      <c r="K1089" s="44">
        <v>221.08500000000001</v>
      </c>
      <c r="L1089" s="44">
        <v>214.17</v>
      </c>
      <c r="M1089" s="44">
        <v>215</v>
      </c>
      <c r="N1089" s="44">
        <v>1934449</v>
      </c>
      <c r="O1089" s="44" t="s">
        <v>911</v>
      </c>
      <c r="P1089" s="25">
        <f t="shared" si="35"/>
        <v>1.9627906976744214E-2</v>
      </c>
    </row>
    <row r="1090" spans="2:16">
      <c r="B1090" s="44">
        <v>345.89985795378578</v>
      </c>
      <c r="C1090" s="44">
        <v>346.36027760886418</v>
      </c>
      <c r="D1090" s="44">
        <v>339.79929752399715</v>
      </c>
      <c r="E1090" s="44">
        <v>340.47074285431978</v>
      </c>
      <c r="F1090" s="44">
        <v>3774106.8193627801</v>
      </c>
      <c r="G1090" s="44" t="s">
        <v>912</v>
      </c>
      <c r="H1090" s="25">
        <f t="shared" ref="H1090:H1153" si="36">B1090/E1090-1</f>
        <v>1.5945907874348464E-2</v>
      </c>
      <c r="J1090" s="44">
        <v>214.44</v>
      </c>
      <c r="K1090" s="44">
        <v>214.61500000000001</v>
      </c>
      <c r="L1090" s="44">
        <v>208.81</v>
      </c>
      <c r="M1090" s="44">
        <v>210.45</v>
      </c>
      <c r="N1090" s="44">
        <v>1951975</v>
      </c>
      <c r="O1090" s="44" t="s">
        <v>912</v>
      </c>
      <c r="P1090" s="25">
        <f t="shared" si="35"/>
        <v>1.8959372772630045E-2</v>
      </c>
    </row>
    <row r="1091" spans="2:16">
      <c r="B1091" s="44">
        <v>336.75860938525028</v>
      </c>
      <c r="C1091" s="44">
        <v>343.03182718569337</v>
      </c>
      <c r="D1091" s="44">
        <v>335.64592855214426</v>
      </c>
      <c r="E1091" s="44">
        <v>342.40834223610807</v>
      </c>
      <c r="F1091" s="44">
        <v>3695633.714226014</v>
      </c>
      <c r="G1091" s="44" t="s">
        <v>913</v>
      </c>
      <c r="H1091" s="25">
        <f t="shared" si="36"/>
        <v>-1.6499985993221E-2</v>
      </c>
      <c r="J1091" s="44">
        <v>206.26</v>
      </c>
      <c r="K1091" s="44">
        <v>213.66</v>
      </c>
      <c r="L1091" s="44">
        <v>205.32</v>
      </c>
      <c r="M1091" s="44">
        <v>211.43</v>
      </c>
      <c r="N1091" s="44">
        <v>1523247</v>
      </c>
      <c r="O1091" s="44" t="s">
        <v>913</v>
      </c>
      <c r="P1091" s="25">
        <f t="shared" si="35"/>
        <v>-2.4452537482854919E-2</v>
      </c>
    </row>
    <row r="1092" spans="2:16">
      <c r="B1092" s="44">
        <v>339.56908769645798</v>
      </c>
      <c r="C1092" s="44">
        <v>339.66500845793263</v>
      </c>
      <c r="D1092" s="44">
        <v>335.53082363837461</v>
      </c>
      <c r="E1092" s="44">
        <v>337.38209433483564</v>
      </c>
      <c r="F1092" s="44">
        <v>4712718.008597143</v>
      </c>
      <c r="G1092" s="44" t="s">
        <v>914</v>
      </c>
      <c r="H1092" s="25">
        <f t="shared" si="36"/>
        <v>6.4822449037613694E-3</v>
      </c>
      <c r="J1092" s="44">
        <v>210.92</v>
      </c>
      <c r="K1092" s="44">
        <v>211.17</v>
      </c>
      <c r="L1092" s="44">
        <v>207.36500000000001</v>
      </c>
      <c r="M1092" s="44">
        <v>207.88</v>
      </c>
      <c r="N1092" s="44">
        <v>2231082</v>
      </c>
      <c r="O1092" s="44" t="s">
        <v>914</v>
      </c>
      <c r="P1092" s="25">
        <f t="shared" si="35"/>
        <v>1.4623821435443496E-2</v>
      </c>
    </row>
    <row r="1093" spans="2:16">
      <c r="B1093" s="44">
        <v>333.26709366757257</v>
      </c>
      <c r="C1093" s="44">
        <v>333.75628955109335</v>
      </c>
      <c r="D1093" s="44">
        <v>327.13296097126778</v>
      </c>
      <c r="E1093" s="44">
        <v>329.4014869801436</v>
      </c>
      <c r="F1093" s="44">
        <v>4821521.3566893768</v>
      </c>
      <c r="G1093" s="44" t="s">
        <v>915</v>
      </c>
      <c r="H1093" s="25">
        <f t="shared" si="36"/>
        <v>1.1735243586383559E-2</v>
      </c>
      <c r="J1093" s="44">
        <v>204.31</v>
      </c>
      <c r="K1093" s="44">
        <v>204.51</v>
      </c>
      <c r="L1093" s="44">
        <v>197.30009999999999</v>
      </c>
      <c r="M1093" s="44">
        <v>200.41</v>
      </c>
      <c r="N1093" s="44">
        <v>1553657</v>
      </c>
      <c r="O1093" s="44" t="s">
        <v>915</v>
      </c>
      <c r="P1093" s="25">
        <f t="shared" si="35"/>
        <v>1.9460106781098885E-2</v>
      </c>
    </row>
    <row r="1094" spans="2:16">
      <c r="B1094" s="44">
        <v>334.14956467313948</v>
      </c>
      <c r="C1094" s="44">
        <v>336.68187277607058</v>
      </c>
      <c r="D1094" s="44">
        <v>330.3223262903004</v>
      </c>
      <c r="E1094" s="44">
        <v>330.67723310775665</v>
      </c>
      <c r="F1094" s="44">
        <v>5841838.5278145326</v>
      </c>
      <c r="G1094" s="44" t="s">
        <v>916</v>
      </c>
      <c r="H1094" s="25">
        <f t="shared" si="36"/>
        <v>1.0500667169460964E-2</v>
      </c>
      <c r="J1094" s="44">
        <v>202.06</v>
      </c>
      <c r="K1094" s="44">
        <v>204.28649999999999</v>
      </c>
      <c r="L1094" s="44">
        <v>196.1</v>
      </c>
      <c r="M1094" s="44">
        <v>198.3</v>
      </c>
      <c r="N1094" s="44">
        <v>1482975</v>
      </c>
      <c r="O1094" s="44" t="s">
        <v>916</v>
      </c>
      <c r="P1094" s="25">
        <f t="shared" si="35"/>
        <v>1.8961169944528455E-2</v>
      </c>
    </row>
    <row r="1095" spans="2:16">
      <c r="B1095" s="44">
        <v>335.71307308517646</v>
      </c>
      <c r="C1095" s="44">
        <v>340.42278247358246</v>
      </c>
      <c r="D1095" s="44">
        <v>334.16874882543436</v>
      </c>
      <c r="E1095" s="44">
        <v>338.21660495966523</v>
      </c>
      <c r="F1095" s="44">
        <v>4253793.378274777</v>
      </c>
      <c r="G1095" s="44" t="s">
        <v>917</v>
      </c>
      <c r="H1095" s="25">
        <f t="shared" si="36"/>
        <v>-7.4021554169031445E-3</v>
      </c>
      <c r="J1095" s="44">
        <v>202.13</v>
      </c>
      <c r="K1095" s="44">
        <v>209.13499999999999</v>
      </c>
      <c r="L1095" s="44">
        <v>201.07</v>
      </c>
      <c r="M1095" s="44">
        <v>206.59</v>
      </c>
      <c r="N1095" s="44">
        <v>1519936</v>
      </c>
      <c r="O1095" s="44" t="s">
        <v>917</v>
      </c>
      <c r="P1095" s="25">
        <f t="shared" si="35"/>
        <v>-2.1588653855462603E-2</v>
      </c>
    </row>
    <row r="1096" spans="2:16">
      <c r="B1096" s="44">
        <v>338.84008990925054</v>
      </c>
      <c r="C1096" s="44">
        <v>341.0654515754627</v>
      </c>
      <c r="D1096" s="44">
        <v>338.13027627433803</v>
      </c>
      <c r="E1096" s="44">
        <v>340.36523001669764</v>
      </c>
      <c r="F1096" s="44">
        <v>3640186.9066920183</v>
      </c>
      <c r="G1096" s="44" t="s">
        <v>918</v>
      </c>
      <c r="H1096" s="25">
        <f t="shared" si="36"/>
        <v>-4.4808927967533441E-3</v>
      </c>
      <c r="J1096" s="44">
        <v>205.72</v>
      </c>
      <c r="K1096" s="44">
        <v>208.14</v>
      </c>
      <c r="L1096" s="44">
        <v>202.49</v>
      </c>
      <c r="M1096" s="44">
        <v>207.48</v>
      </c>
      <c r="N1096" s="44">
        <v>1197561</v>
      </c>
      <c r="O1096" s="44" t="s">
        <v>918</v>
      </c>
      <c r="P1096" s="25">
        <f t="shared" si="35"/>
        <v>-8.4827453248504936E-3</v>
      </c>
    </row>
    <row r="1097" spans="2:16">
      <c r="B1097" s="44">
        <v>342.71528867282694</v>
      </c>
      <c r="C1097" s="44">
        <v>344.40349407478107</v>
      </c>
      <c r="D1097" s="44">
        <v>340.0112824068562</v>
      </c>
      <c r="E1097" s="44">
        <v>341.38755349249465</v>
      </c>
      <c r="F1097" s="44">
        <v>4995103.1730138632</v>
      </c>
      <c r="G1097" s="44" t="s">
        <v>919</v>
      </c>
      <c r="H1097" s="25">
        <f t="shared" si="36"/>
        <v>3.8892313640295217E-3</v>
      </c>
      <c r="J1097" s="44">
        <v>208.81</v>
      </c>
      <c r="K1097" s="44">
        <v>211.22</v>
      </c>
      <c r="L1097" s="44">
        <v>205.73</v>
      </c>
      <c r="M1097" s="44">
        <v>206.05</v>
      </c>
      <c r="N1097" s="44">
        <v>1149400</v>
      </c>
      <c r="O1097" s="44" t="s">
        <v>919</v>
      </c>
      <c r="P1097" s="25">
        <f t="shared" si="35"/>
        <v>1.3394807085658877E-2</v>
      </c>
    </row>
    <row r="1098" spans="2:16">
      <c r="B1098" s="44">
        <v>342.91672227192373</v>
      </c>
      <c r="C1098" s="44">
        <v>343.68408836372106</v>
      </c>
      <c r="D1098" s="44">
        <v>339.55949562031049</v>
      </c>
      <c r="E1098" s="44">
        <v>339.56908769645798</v>
      </c>
      <c r="F1098" s="44">
        <v>3896422.3621047861</v>
      </c>
      <c r="G1098" s="44" t="s">
        <v>920</v>
      </c>
      <c r="H1098" s="25">
        <f t="shared" si="36"/>
        <v>9.8584785740514214E-3</v>
      </c>
      <c r="J1098" s="44">
        <v>208.71</v>
      </c>
      <c r="K1098" s="44">
        <v>209.37</v>
      </c>
      <c r="L1098" s="44">
        <v>204.25</v>
      </c>
      <c r="M1098" s="44">
        <v>204.79</v>
      </c>
      <c r="N1098" s="44">
        <v>1396773</v>
      </c>
      <c r="O1098" s="44" t="s">
        <v>920</v>
      </c>
      <c r="P1098" s="25">
        <f t="shared" si="35"/>
        <v>1.9141559646467243E-2</v>
      </c>
    </row>
    <row r="1099" spans="2:16">
      <c r="B1099" s="44">
        <v>337.95761890368362</v>
      </c>
      <c r="C1099" s="44">
        <v>340.21175679833823</v>
      </c>
      <c r="D1099" s="44">
        <v>334.69631301354502</v>
      </c>
      <c r="E1099" s="44">
        <v>336.90249052746231</v>
      </c>
      <c r="F1099" s="44">
        <v>5682740.5414622156</v>
      </c>
      <c r="G1099" s="44" t="s">
        <v>921</v>
      </c>
      <c r="H1099" s="25">
        <f t="shared" si="36"/>
        <v>3.1318509238960068E-3</v>
      </c>
      <c r="J1099" s="44">
        <v>205.35</v>
      </c>
      <c r="K1099" s="44">
        <v>209.48</v>
      </c>
      <c r="L1099" s="44">
        <v>204.33</v>
      </c>
      <c r="M1099" s="44">
        <v>207.78</v>
      </c>
      <c r="N1099" s="44">
        <v>1654648</v>
      </c>
      <c r="O1099" s="44" t="s">
        <v>921</v>
      </c>
      <c r="P1099" s="25">
        <f t="shared" si="35"/>
        <v>-1.1695062084897567E-2</v>
      </c>
    </row>
    <row r="1100" spans="2:16">
      <c r="B1100" s="44">
        <v>336.7394252329554</v>
      </c>
      <c r="C1100" s="44">
        <v>336.77779353754528</v>
      </c>
      <c r="D1100" s="44">
        <v>328.79718618285318</v>
      </c>
      <c r="E1100" s="44">
        <v>331.38704674266916</v>
      </c>
      <c r="F1100" s="44">
        <v>6443405.8956386643</v>
      </c>
      <c r="G1100" s="44" t="s">
        <v>922</v>
      </c>
      <c r="H1100" s="25">
        <f t="shared" si="36"/>
        <v>1.6151441472733508E-2</v>
      </c>
      <c r="J1100" s="44">
        <v>206.75</v>
      </c>
      <c r="K1100" s="44">
        <v>207.32</v>
      </c>
      <c r="L1100" s="44">
        <v>200.12</v>
      </c>
      <c r="M1100" s="44">
        <v>203.06</v>
      </c>
      <c r="N1100" s="44">
        <v>1432902</v>
      </c>
      <c r="O1100" s="44" t="s">
        <v>922</v>
      </c>
      <c r="P1100" s="25">
        <f t="shared" si="35"/>
        <v>1.8171968876194322E-2</v>
      </c>
    </row>
    <row r="1101" spans="2:16">
      <c r="B1101" s="44">
        <v>336.14471651181248</v>
      </c>
      <c r="C1101" s="44">
        <v>336.51880748156367</v>
      </c>
      <c r="D1101" s="44">
        <v>329.57414435079795</v>
      </c>
      <c r="E1101" s="44">
        <v>332.0393079206969</v>
      </c>
      <c r="F1101" s="44">
        <v>7799646.1714663506</v>
      </c>
      <c r="G1101" s="44" t="s">
        <v>923</v>
      </c>
      <c r="H1101" s="25">
        <f t="shared" si="36"/>
        <v>1.2364224636006282E-2</v>
      </c>
      <c r="J1101" s="44">
        <v>206.1</v>
      </c>
      <c r="K1101" s="44">
        <v>206.33</v>
      </c>
      <c r="L1101" s="44">
        <v>200</v>
      </c>
      <c r="M1101" s="44">
        <v>201.07</v>
      </c>
      <c r="N1101" s="44">
        <v>1459803</v>
      </c>
      <c r="O1101" s="44" t="s">
        <v>923</v>
      </c>
      <c r="P1101" s="25">
        <f t="shared" si="35"/>
        <v>2.5016163525140467E-2</v>
      </c>
    </row>
    <row r="1102" spans="2:16">
      <c r="B1102" s="44">
        <v>332.72993740331441</v>
      </c>
      <c r="C1102" s="44">
        <v>335.56919194296444</v>
      </c>
      <c r="D1102" s="44">
        <v>328.48064766998681</v>
      </c>
      <c r="E1102" s="44">
        <v>331.77072978856779</v>
      </c>
      <c r="F1102" s="44">
        <v>7464076.4834744353</v>
      </c>
      <c r="G1102" s="44" t="s">
        <v>924</v>
      </c>
      <c r="H1102" s="25">
        <f t="shared" si="36"/>
        <v>2.8911761304497574E-3</v>
      </c>
      <c r="J1102" s="44">
        <v>200.71</v>
      </c>
      <c r="K1102" s="44">
        <v>203.38</v>
      </c>
      <c r="L1102" s="44">
        <v>197.61</v>
      </c>
      <c r="M1102" s="44">
        <v>201.46</v>
      </c>
      <c r="N1102" s="44">
        <v>2224471</v>
      </c>
      <c r="O1102" s="44" t="s">
        <v>924</v>
      </c>
      <c r="P1102" s="25">
        <f t="shared" si="35"/>
        <v>-3.722823389258445E-3</v>
      </c>
    </row>
    <row r="1103" spans="2:16">
      <c r="B1103" s="44">
        <v>335.37735042001515</v>
      </c>
      <c r="C1103" s="44">
        <v>337.02718751737939</v>
      </c>
      <c r="D1103" s="44">
        <v>333.62200048502882</v>
      </c>
      <c r="E1103" s="44">
        <v>336.13512443566503</v>
      </c>
      <c r="F1103" s="44">
        <v>3936437.6824691249</v>
      </c>
      <c r="G1103" s="44" t="s">
        <v>925</v>
      </c>
      <c r="H1103" s="25">
        <f t="shared" si="36"/>
        <v>-2.2543731986417459E-3</v>
      </c>
      <c r="J1103" s="44">
        <v>202.59</v>
      </c>
      <c r="K1103" s="44">
        <v>203.85</v>
      </c>
      <c r="L1103" s="44">
        <v>197.85</v>
      </c>
      <c r="M1103" s="44">
        <v>201.85</v>
      </c>
      <c r="N1103" s="44">
        <v>1655394</v>
      </c>
      <c r="O1103" s="44" t="s">
        <v>925</v>
      </c>
      <c r="P1103" s="25">
        <f t="shared" si="35"/>
        <v>3.6660886797126313E-3</v>
      </c>
    </row>
    <row r="1104" spans="2:16">
      <c r="B1104" s="44">
        <v>335.21227078951728</v>
      </c>
      <c r="C1104" s="44">
        <v>346.61369128502281</v>
      </c>
      <c r="D1104" s="44">
        <v>335.21227078951728</v>
      </c>
      <c r="E1104" s="44">
        <v>343.98185940692332</v>
      </c>
      <c r="F1104" s="44">
        <v>9213697.9196066596</v>
      </c>
      <c r="G1104" s="44" t="s">
        <v>926</v>
      </c>
      <c r="H1104" s="25">
        <f t="shared" si="36"/>
        <v>-2.5494334592312873E-2</v>
      </c>
      <c r="J1104" s="44">
        <v>201.99</v>
      </c>
      <c r="K1104" s="44">
        <v>211.47</v>
      </c>
      <c r="L1104" s="44">
        <v>201.17</v>
      </c>
      <c r="M1104" s="44">
        <v>209.02</v>
      </c>
      <c r="N1104" s="44">
        <v>1662380</v>
      </c>
      <c r="O1104" s="44" t="s">
        <v>926</v>
      </c>
      <c r="P1104" s="25">
        <f t="shared" si="35"/>
        <v>-3.3633145153573851E-2</v>
      </c>
    </row>
    <row r="1105" spans="2:16">
      <c r="B1105" s="44">
        <v>342.6157905917936</v>
      </c>
      <c r="C1105" s="44">
        <v>345.00402278607629</v>
      </c>
      <c r="D1105" s="44">
        <v>341.58407428386352</v>
      </c>
      <c r="E1105" s="44">
        <v>344.86072885441939</v>
      </c>
      <c r="F1105" s="44">
        <v>4824269.19274511</v>
      </c>
      <c r="G1105" s="44" t="s">
        <v>927</v>
      </c>
      <c r="H1105" s="25">
        <f t="shared" si="36"/>
        <v>-6.5096952908589856E-3</v>
      </c>
      <c r="J1105" s="44">
        <v>207.94</v>
      </c>
      <c r="K1105" s="44">
        <v>209.88</v>
      </c>
      <c r="L1105" s="44">
        <v>205.88</v>
      </c>
      <c r="M1105" s="44">
        <v>208.8</v>
      </c>
      <c r="N1105" s="44">
        <v>1900789</v>
      </c>
      <c r="O1105" s="44" t="s">
        <v>927</v>
      </c>
      <c r="P1105" s="25">
        <f t="shared" si="35"/>
        <v>-4.1187739463601769E-3</v>
      </c>
    </row>
    <row r="1106" spans="2:16">
      <c r="B1106" s="44">
        <v>343.90543597670631</v>
      </c>
      <c r="C1106" s="44">
        <v>343.92454183426054</v>
      </c>
      <c r="D1106" s="44">
        <v>336.23443416867036</v>
      </c>
      <c r="E1106" s="44">
        <v>336.29175174133309</v>
      </c>
      <c r="F1106" s="44">
        <v>5714016.2219858039</v>
      </c>
      <c r="G1106" s="44" t="s">
        <v>928</v>
      </c>
      <c r="H1106" s="25">
        <f t="shared" si="36"/>
        <v>2.2640115899213331E-2</v>
      </c>
      <c r="J1106" s="44">
        <v>209.67</v>
      </c>
      <c r="K1106" s="44">
        <v>209.845</v>
      </c>
      <c r="L1106" s="44">
        <v>203.82</v>
      </c>
      <c r="M1106" s="44">
        <v>207.61</v>
      </c>
      <c r="N1106" s="44">
        <v>2270495</v>
      </c>
      <c r="O1106" s="44" t="s">
        <v>928</v>
      </c>
      <c r="P1106" s="25">
        <f t="shared" si="35"/>
        <v>9.9224507490003333E-3</v>
      </c>
    </row>
    <row r="1107" spans="2:16">
      <c r="B1107" s="44">
        <v>333.5214023959652</v>
      </c>
      <c r="C1107" s="44">
        <v>333.97994297726746</v>
      </c>
      <c r="D1107" s="44">
        <v>328.75449093617692</v>
      </c>
      <c r="E1107" s="44">
        <v>332.08846307939558</v>
      </c>
      <c r="F1107" s="44">
        <v>7022740.5191803528</v>
      </c>
      <c r="G1107" s="44" t="s">
        <v>929</v>
      </c>
      <c r="H1107" s="25">
        <f t="shared" si="36"/>
        <v>4.3149325432212393E-3</v>
      </c>
      <c r="J1107" s="44">
        <v>204.5</v>
      </c>
      <c r="K1107" s="44">
        <v>206.93</v>
      </c>
      <c r="L1107" s="44">
        <v>201.81</v>
      </c>
      <c r="M1107" s="44">
        <v>202.9</v>
      </c>
      <c r="N1107" s="44">
        <v>1611988</v>
      </c>
      <c r="O1107" s="44" t="s">
        <v>929</v>
      </c>
      <c r="P1107" s="25">
        <f t="shared" si="35"/>
        <v>7.8856579595860676E-3</v>
      </c>
    </row>
    <row r="1108" spans="2:16">
      <c r="B1108" s="44">
        <v>330.05368924986675</v>
      </c>
      <c r="C1108" s="44">
        <v>333.88441368949617</v>
      </c>
      <c r="D1108" s="44">
        <v>326.36129121893015</v>
      </c>
      <c r="E1108" s="44">
        <v>326.78658760808798</v>
      </c>
      <c r="F1108" s="44">
        <v>5104256.6251232419</v>
      </c>
      <c r="G1108" s="44" t="s">
        <v>930</v>
      </c>
      <c r="H1108" s="25">
        <f t="shared" si="36"/>
        <v>9.9976613657626334E-3</v>
      </c>
      <c r="J1108" s="44">
        <v>200.62</v>
      </c>
      <c r="K1108" s="44">
        <v>203.7</v>
      </c>
      <c r="L1108" s="44">
        <v>191.9</v>
      </c>
      <c r="M1108" s="44">
        <v>192.91</v>
      </c>
      <c r="N1108" s="44">
        <v>2582487</v>
      </c>
      <c r="O1108" s="44" t="s">
        <v>930</v>
      </c>
      <c r="P1108" s="25">
        <f t="shared" si="35"/>
        <v>3.9966823907521709E-2</v>
      </c>
    </row>
    <row r="1109" spans="2:16">
      <c r="B1109" s="44">
        <v>330.75105305059731</v>
      </c>
      <c r="C1109" s="44">
        <v>331.9642750052929</v>
      </c>
      <c r="D1109" s="44">
        <v>327.77053927213251</v>
      </c>
      <c r="E1109" s="44">
        <v>327.84696270234951</v>
      </c>
      <c r="F1109" s="44">
        <v>5891751.2433192264</v>
      </c>
      <c r="G1109" s="44" t="s">
        <v>931</v>
      </c>
      <c r="H1109" s="25">
        <f t="shared" si="36"/>
        <v>8.8580669599931383E-3</v>
      </c>
      <c r="J1109" s="44">
        <v>194.32</v>
      </c>
      <c r="K1109" s="44">
        <v>197.65</v>
      </c>
      <c r="L1109" s="44">
        <v>193.93</v>
      </c>
      <c r="M1109" s="44">
        <v>195.63499999999999</v>
      </c>
      <c r="N1109" s="44">
        <v>1859513</v>
      </c>
      <c r="O1109" s="44" t="s">
        <v>931</v>
      </c>
      <c r="P1109" s="25">
        <f t="shared" si="35"/>
        <v>-6.7217011270989113E-3</v>
      </c>
    </row>
    <row r="1110" spans="2:16">
      <c r="B1110" s="44">
        <v>322.841228023133</v>
      </c>
      <c r="C1110" s="44">
        <v>325.63068322605523</v>
      </c>
      <c r="D1110" s="44">
        <v>319.29709144681755</v>
      </c>
      <c r="E1110" s="44">
        <v>322.22984058139667</v>
      </c>
      <c r="F1110" s="44">
        <v>7415506.9772515446</v>
      </c>
      <c r="G1110" s="44" t="s">
        <v>932</v>
      </c>
      <c r="H1110" s="25">
        <f t="shared" si="36"/>
        <v>1.8973644422044522E-3</v>
      </c>
      <c r="J1110" s="44">
        <v>192.08</v>
      </c>
      <c r="K1110" s="44">
        <v>195.5</v>
      </c>
      <c r="L1110" s="44">
        <v>189.9</v>
      </c>
      <c r="M1110" s="44">
        <v>191.8</v>
      </c>
      <c r="N1110" s="44">
        <v>3802396</v>
      </c>
      <c r="O1110" s="44" t="s">
        <v>932</v>
      </c>
      <c r="P1110" s="25">
        <f t="shared" si="35"/>
        <v>1.4598540145984717E-3</v>
      </c>
    </row>
    <row r="1111" spans="2:16">
      <c r="B1111" s="44">
        <v>322.00057029074554</v>
      </c>
      <c r="C1111" s="44">
        <v>325.60202443972378</v>
      </c>
      <c r="D1111" s="44">
        <v>319.61233809646285</v>
      </c>
      <c r="E1111" s="44">
        <v>325.25811900374714</v>
      </c>
      <c r="F1111" s="44">
        <v>9234727.0725174323</v>
      </c>
      <c r="G1111" s="44" t="s">
        <v>933</v>
      </c>
      <c r="H1111" s="25">
        <f t="shared" si="36"/>
        <v>-1.0015272556391008E-2</v>
      </c>
      <c r="J1111" s="44">
        <v>190.71</v>
      </c>
      <c r="K1111" s="44">
        <v>193.05</v>
      </c>
      <c r="L1111" s="44">
        <v>186.83</v>
      </c>
      <c r="M1111" s="44">
        <v>191.87</v>
      </c>
      <c r="N1111" s="44">
        <v>2449418</v>
      </c>
      <c r="O1111" s="44" t="s">
        <v>933</v>
      </c>
      <c r="P1111" s="25">
        <f t="shared" si="35"/>
        <v>-6.0457601501016089E-3</v>
      </c>
    </row>
    <row r="1112" spans="2:16">
      <c r="B1112" s="44">
        <v>332.9386737405602</v>
      </c>
      <c r="C1112" s="44">
        <v>337.06553897228065</v>
      </c>
      <c r="D1112" s="44">
        <v>326.68150539153959</v>
      </c>
      <c r="E1112" s="44">
        <v>331.31467584844796</v>
      </c>
      <c r="F1112" s="44">
        <v>8256759.978031666</v>
      </c>
      <c r="G1112" s="44" t="s">
        <v>934</v>
      </c>
      <c r="H1112" s="25">
        <f t="shared" si="36"/>
        <v>4.9016781039157298E-3</v>
      </c>
      <c r="J1112" s="44">
        <v>196.13</v>
      </c>
      <c r="K1112" s="44">
        <v>200.15</v>
      </c>
      <c r="L1112" s="44">
        <v>192.36</v>
      </c>
      <c r="M1112" s="44">
        <v>194</v>
      </c>
      <c r="N1112" s="44">
        <v>2409501</v>
      </c>
      <c r="O1112" s="44" t="s">
        <v>934</v>
      </c>
      <c r="P1112" s="25">
        <f t="shared" si="35"/>
        <v>1.0979381443299019E-2</v>
      </c>
    </row>
    <row r="1113" spans="2:16">
      <c r="B1113" s="44">
        <v>328.23863278221194</v>
      </c>
      <c r="C1113" s="44">
        <v>331.7923222873045</v>
      </c>
      <c r="D1113" s="44">
        <v>325.34409536274126</v>
      </c>
      <c r="E1113" s="44">
        <v>330.88479405347709</v>
      </c>
      <c r="F1113" s="44">
        <v>7939125.4524541209</v>
      </c>
      <c r="G1113" s="44" t="s">
        <v>935</v>
      </c>
      <c r="H1113" s="25">
        <f t="shared" si="36"/>
        <v>-7.9972283973783753E-3</v>
      </c>
      <c r="J1113" s="44">
        <v>191.1</v>
      </c>
      <c r="K1113" s="44">
        <v>195.33</v>
      </c>
      <c r="L1113" s="44">
        <v>188.81</v>
      </c>
      <c r="M1113" s="44">
        <v>194.63</v>
      </c>
      <c r="N1113" s="44">
        <v>3184162</v>
      </c>
      <c r="O1113" s="44" t="s">
        <v>935</v>
      </c>
      <c r="P1113" s="25">
        <f t="shared" si="35"/>
        <v>-1.8136977855418013E-2</v>
      </c>
    </row>
    <row r="1114" spans="2:16">
      <c r="B1114" s="44">
        <v>329.06018465704511</v>
      </c>
      <c r="C1114" s="44">
        <v>335.15046334032928</v>
      </c>
      <c r="D1114" s="44">
        <v>327.72277462824684</v>
      </c>
      <c r="E1114" s="44">
        <v>333.50229653841092</v>
      </c>
      <c r="F1114" s="44">
        <v>10886407.972491557</v>
      </c>
      <c r="G1114" s="44" t="s">
        <v>936</v>
      </c>
      <c r="H1114" s="25">
        <f t="shared" si="36"/>
        <v>-1.3319584085245362E-2</v>
      </c>
      <c r="J1114" s="44">
        <v>194.97</v>
      </c>
      <c r="K1114" s="44">
        <v>200.24</v>
      </c>
      <c r="L1114" s="44">
        <v>193.76</v>
      </c>
      <c r="M1114" s="44">
        <v>199</v>
      </c>
      <c r="N1114" s="44">
        <v>3539903</v>
      </c>
      <c r="O1114" s="44" t="s">
        <v>936</v>
      </c>
      <c r="P1114" s="25">
        <f t="shared" si="35"/>
        <v>-2.0251256281407004E-2</v>
      </c>
    </row>
    <row r="1115" spans="2:16">
      <c r="B1115" s="44">
        <v>342.25277929826268</v>
      </c>
      <c r="C1115" s="44">
        <v>347.43046669546754</v>
      </c>
      <c r="D1115" s="44">
        <v>342.21456758315418</v>
      </c>
      <c r="E1115" s="44">
        <v>346.7044441084056</v>
      </c>
      <c r="F1115" s="44">
        <v>7986757.9650181551</v>
      </c>
      <c r="G1115" s="44" t="s">
        <v>937</v>
      </c>
      <c r="H1115" s="25">
        <f t="shared" si="36"/>
        <v>-1.2839941586531789E-2</v>
      </c>
      <c r="J1115" s="44">
        <v>205.27</v>
      </c>
      <c r="K1115" s="44">
        <v>208</v>
      </c>
      <c r="L1115" s="44">
        <v>203.66</v>
      </c>
      <c r="M1115" s="44">
        <v>206.8</v>
      </c>
      <c r="N1115" s="44">
        <v>1602888</v>
      </c>
      <c r="O1115" s="44" t="s">
        <v>937</v>
      </c>
      <c r="P1115" s="25">
        <f t="shared" si="35"/>
        <v>-7.39845261121852E-3</v>
      </c>
    </row>
    <row r="1116" spans="2:16">
      <c r="B1116" s="44">
        <v>352.5986011638953</v>
      </c>
      <c r="C1116" s="44">
        <v>361.52103664173535</v>
      </c>
      <c r="D1116" s="44">
        <v>352.52217773367818</v>
      </c>
      <c r="E1116" s="44">
        <v>359.41939231076663</v>
      </c>
      <c r="F1116" s="44">
        <v>3163405.7685371609</v>
      </c>
      <c r="G1116" s="44" t="s">
        <v>938</v>
      </c>
      <c r="H1116" s="25">
        <f t="shared" si="36"/>
        <v>-1.8977248564745919E-2</v>
      </c>
      <c r="J1116" s="44">
        <v>209.95</v>
      </c>
      <c r="K1116" s="44">
        <v>216.965</v>
      </c>
      <c r="L1116" s="44">
        <v>209.91</v>
      </c>
      <c r="M1116" s="44">
        <v>216.35</v>
      </c>
      <c r="N1116" s="44">
        <v>1595463</v>
      </c>
      <c r="O1116" s="44" t="s">
        <v>938</v>
      </c>
      <c r="P1116" s="25">
        <f t="shared" si="35"/>
        <v>-2.9581696325398643E-2</v>
      </c>
    </row>
    <row r="1117" spans="2:16">
      <c r="B1117" s="44">
        <v>361.09115484676448</v>
      </c>
      <c r="C1117" s="44">
        <v>365.14159664826792</v>
      </c>
      <c r="D1117" s="44">
        <v>360.39379104603393</v>
      </c>
      <c r="E1117" s="44">
        <v>363.48893996982429</v>
      </c>
      <c r="F1117" s="44">
        <v>3597266.4301933097</v>
      </c>
      <c r="G1117" s="44" t="s">
        <v>939</v>
      </c>
      <c r="H1117" s="25">
        <f t="shared" si="36"/>
        <v>-6.5965834428383108E-3</v>
      </c>
      <c r="J1117" s="44">
        <v>218.6</v>
      </c>
      <c r="K1117" s="44">
        <v>222.82</v>
      </c>
      <c r="L1117" s="44">
        <v>218.15</v>
      </c>
      <c r="M1117" s="44">
        <v>221.04</v>
      </c>
      <c r="N1117" s="44">
        <v>1104591</v>
      </c>
      <c r="O1117" s="44" t="s">
        <v>939</v>
      </c>
      <c r="P1117" s="25">
        <f t="shared" si="35"/>
        <v>-1.1038726022439382E-2</v>
      </c>
    </row>
    <row r="1118" spans="2:16">
      <c r="B1118" s="44">
        <v>365.08427907560514</v>
      </c>
      <c r="C1118" s="44">
        <v>365.50460794179889</v>
      </c>
      <c r="D1118" s="44">
        <v>357.95779420786556</v>
      </c>
      <c r="E1118" s="44">
        <v>358.38767600283649</v>
      </c>
      <c r="F1118" s="44">
        <v>2773868.6865787539</v>
      </c>
      <c r="G1118" s="44" t="s">
        <v>940</v>
      </c>
      <c r="H1118" s="25">
        <f t="shared" si="36"/>
        <v>1.8685360912677362E-2</v>
      </c>
      <c r="J1118" s="44">
        <v>221.95</v>
      </c>
      <c r="K1118" s="44">
        <v>222.57</v>
      </c>
      <c r="L1118" s="44">
        <v>214.58</v>
      </c>
      <c r="M1118" s="44">
        <v>215.29</v>
      </c>
      <c r="N1118" s="44">
        <v>1351951</v>
      </c>
      <c r="O1118" s="44" t="s">
        <v>940</v>
      </c>
      <c r="P1118" s="25">
        <f t="shared" si="35"/>
        <v>3.0935017882855576E-2</v>
      </c>
    </row>
    <row r="1119" spans="2:16">
      <c r="B1119" s="44">
        <v>361.5496954280668</v>
      </c>
      <c r="C1119" s="44">
        <v>365.83896044899842</v>
      </c>
      <c r="D1119" s="44">
        <v>360.53708497769094</v>
      </c>
      <c r="E1119" s="44">
        <v>364.28183305832613</v>
      </c>
      <c r="F1119" s="44">
        <v>2783944.1306907646</v>
      </c>
      <c r="G1119" s="44" t="s">
        <v>941</v>
      </c>
      <c r="H1119" s="25">
        <f t="shared" si="36"/>
        <v>-7.5000655600134802E-3</v>
      </c>
      <c r="J1119" s="44">
        <v>216.43</v>
      </c>
      <c r="K1119" s="44">
        <v>222.84</v>
      </c>
      <c r="L1119" s="44">
        <v>215.48410000000001</v>
      </c>
      <c r="M1119" s="44">
        <v>221.45</v>
      </c>
      <c r="N1119" s="44">
        <v>1374508</v>
      </c>
      <c r="O1119" s="44" t="s">
        <v>941</v>
      </c>
      <c r="P1119" s="25">
        <f t="shared" si="35"/>
        <v>-2.2668773989613866E-2</v>
      </c>
    </row>
    <row r="1120" spans="2:16">
      <c r="B1120" s="44">
        <v>360.56574376402227</v>
      </c>
      <c r="C1120" s="44">
        <v>363.58446925759563</v>
      </c>
      <c r="D1120" s="44">
        <v>359.64866260141775</v>
      </c>
      <c r="E1120" s="44">
        <v>362.16108286980312</v>
      </c>
      <c r="F1120" s="44">
        <v>2878214.6963999844</v>
      </c>
      <c r="G1120" s="44" t="s">
        <v>942</v>
      </c>
      <c r="H1120" s="25">
        <f t="shared" si="36"/>
        <v>-4.4050539421276458E-3</v>
      </c>
      <c r="J1120" s="44">
        <v>217.79</v>
      </c>
      <c r="K1120" s="44">
        <v>224.505</v>
      </c>
      <c r="L1120" s="44">
        <v>216.97</v>
      </c>
      <c r="M1120" s="44">
        <v>224.04</v>
      </c>
      <c r="N1120" s="44">
        <v>1524403</v>
      </c>
      <c r="O1120" s="44" t="s">
        <v>942</v>
      </c>
      <c r="P1120" s="25">
        <f t="shared" si="35"/>
        <v>-2.7896804142117482E-2</v>
      </c>
    </row>
    <row r="1121" spans="2:16">
      <c r="B1121" s="44">
        <v>366.49811253462042</v>
      </c>
      <c r="C1121" s="44">
        <v>366.58408889361465</v>
      </c>
      <c r="D1121" s="44">
        <v>357.47059484023191</v>
      </c>
      <c r="E1121" s="44">
        <v>359.58179209997786</v>
      </c>
      <c r="F1121" s="44">
        <v>3426929.1401367262</v>
      </c>
      <c r="G1121" s="44" t="s">
        <v>943</v>
      </c>
      <c r="H1121" s="25">
        <f t="shared" si="36"/>
        <v>1.9234345527483043E-2</v>
      </c>
      <c r="J1121" s="44">
        <v>227.21</v>
      </c>
      <c r="K1121" s="44">
        <v>227.34</v>
      </c>
      <c r="L1121" s="44">
        <v>214.07</v>
      </c>
      <c r="M1121" s="44">
        <v>216.4</v>
      </c>
      <c r="N1121" s="44">
        <v>2099595</v>
      </c>
      <c r="O1121" s="44" t="s">
        <v>943</v>
      </c>
      <c r="P1121" s="25">
        <f t="shared" si="35"/>
        <v>4.995378927911287E-2</v>
      </c>
    </row>
    <row r="1122" spans="2:16">
      <c r="B1122" s="44">
        <v>359.66776845897198</v>
      </c>
      <c r="C1122" s="44">
        <v>365.53326672813023</v>
      </c>
      <c r="D1122" s="44">
        <v>357.37506555246063</v>
      </c>
      <c r="E1122" s="44">
        <v>364.54931506408582</v>
      </c>
      <c r="F1122" s="44">
        <v>4444519.6850669421</v>
      </c>
      <c r="G1122" s="44" t="s">
        <v>944</v>
      </c>
      <c r="H1122" s="25">
        <f t="shared" si="36"/>
        <v>-1.3390634417337122E-2</v>
      </c>
      <c r="J1122" s="44">
        <v>216.39</v>
      </c>
      <c r="K1122" s="44">
        <v>230</v>
      </c>
      <c r="L1122" s="44">
        <v>212.2</v>
      </c>
      <c r="M1122" s="44">
        <v>227.74</v>
      </c>
      <c r="N1122" s="44">
        <v>2426279</v>
      </c>
      <c r="O1122" s="44" t="s">
        <v>944</v>
      </c>
      <c r="P1122" s="25">
        <f t="shared" si="35"/>
        <v>-4.9837534030034325E-2</v>
      </c>
    </row>
    <row r="1123" spans="2:16">
      <c r="B1123" s="44">
        <v>362.70559981009956</v>
      </c>
      <c r="C1123" s="44">
        <v>365.73387823245002</v>
      </c>
      <c r="D1123" s="44">
        <v>360.06899146761151</v>
      </c>
      <c r="E1123" s="44">
        <v>363.23101089284177</v>
      </c>
      <c r="F1123" s="44">
        <v>5251283.7864020327</v>
      </c>
      <c r="G1123" s="44" t="s">
        <v>945</v>
      </c>
      <c r="H1123" s="25">
        <f t="shared" si="36"/>
        <v>-1.4464929121847936E-3</v>
      </c>
      <c r="J1123" s="44">
        <v>227.64</v>
      </c>
      <c r="K1123" s="44">
        <v>230</v>
      </c>
      <c r="L1123" s="44">
        <v>224.79499999999999</v>
      </c>
      <c r="M1123" s="44">
        <v>228.4</v>
      </c>
      <c r="N1123" s="44">
        <v>2046533</v>
      </c>
      <c r="O1123" s="44" t="s">
        <v>945</v>
      </c>
      <c r="P1123" s="25">
        <f t="shared" si="35"/>
        <v>-3.3274956217164142E-3</v>
      </c>
    </row>
    <row r="1124" spans="2:16">
      <c r="B1124" s="44">
        <v>364.73082071085128</v>
      </c>
      <c r="C1124" s="44">
        <v>364.78813828351406</v>
      </c>
      <c r="D1124" s="44">
        <v>358.04377056685979</v>
      </c>
      <c r="E1124" s="44">
        <v>358.17751156973958</v>
      </c>
      <c r="F1124" s="44">
        <v>4094859.3790049437</v>
      </c>
      <c r="G1124" s="44" t="s">
        <v>946</v>
      </c>
      <c r="H1124" s="25">
        <f t="shared" si="36"/>
        <v>1.8296260735050973E-2</v>
      </c>
      <c r="J1124" s="44">
        <v>229.16</v>
      </c>
      <c r="K1124" s="44">
        <v>229.89</v>
      </c>
      <c r="L1124" s="44">
        <v>224.44</v>
      </c>
      <c r="M1124" s="44">
        <v>226.5</v>
      </c>
      <c r="N1124" s="44">
        <v>2133035</v>
      </c>
      <c r="O1124" s="44" t="s">
        <v>946</v>
      </c>
      <c r="P1124" s="25">
        <f t="shared" si="35"/>
        <v>1.174392935982338E-2</v>
      </c>
    </row>
    <row r="1125" spans="2:16">
      <c r="B1125" s="44">
        <v>355.80838523301117</v>
      </c>
      <c r="C1125" s="44">
        <v>357.40372433879202</v>
      </c>
      <c r="D1125" s="44">
        <v>349.89512231996724</v>
      </c>
      <c r="E1125" s="44">
        <v>350.06229857356703</v>
      </c>
      <c r="F1125" s="44">
        <v>4447068.6415773574</v>
      </c>
      <c r="G1125" s="44" t="s">
        <v>947</v>
      </c>
      <c r="H1125" s="25">
        <f t="shared" si="36"/>
        <v>1.6414468747015132E-2</v>
      </c>
      <c r="J1125" s="44">
        <v>223.3</v>
      </c>
      <c r="K1125" s="44">
        <v>226.06</v>
      </c>
      <c r="L1125" s="44">
        <v>221.13499999999999</v>
      </c>
      <c r="M1125" s="44">
        <v>223.41</v>
      </c>
      <c r="N1125" s="44">
        <v>2562930</v>
      </c>
      <c r="O1125" s="44" t="s">
        <v>947</v>
      </c>
      <c r="P1125" s="25">
        <f t="shared" si="35"/>
        <v>-4.9236829148191497E-4</v>
      </c>
    </row>
    <row r="1126" spans="2:16">
      <c r="B1126" s="44">
        <v>348.87295894081427</v>
      </c>
      <c r="C1126" s="44">
        <v>350.74533298113192</v>
      </c>
      <c r="D1126" s="44">
        <v>344.16336505368878</v>
      </c>
      <c r="E1126" s="44">
        <v>344.42129413067136</v>
      </c>
      <c r="F1126" s="44">
        <v>5971571.7902728934</v>
      </c>
      <c r="G1126" s="44" t="s">
        <v>948</v>
      </c>
      <c r="H1126" s="25">
        <f t="shared" si="36"/>
        <v>1.2925056859155681E-2</v>
      </c>
      <c r="J1126" s="44">
        <v>222.58</v>
      </c>
      <c r="K1126" s="44">
        <v>224.26</v>
      </c>
      <c r="L1126" s="44">
        <v>216.17</v>
      </c>
      <c r="M1126" s="44">
        <v>216.18</v>
      </c>
      <c r="N1126" s="44">
        <v>1466130</v>
      </c>
      <c r="O1126" s="44" t="s">
        <v>948</v>
      </c>
      <c r="P1126" s="25">
        <f t="shared" si="35"/>
        <v>2.9604958830604211E-2</v>
      </c>
    </row>
    <row r="1127" spans="2:16">
      <c r="B1127" s="44">
        <v>345.98797445012082</v>
      </c>
      <c r="C1127" s="44">
        <v>346.97192611416523</v>
      </c>
      <c r="D1127" s="44">
        <v>339.79767660254009</v>
      </c>
      <c r="E1127" s="44">
        <v>344.71743492276244</v>
      </c>
      <c r="F1127" s="44">
        <v>5827847.2810640661</v>
      </c>
      <c r="G1127" s="44" t="s">
        <v>949</v>
      </c>
      <c r="H1127" s="25">
        <f t="shared" si="36"/>
        <v>3.6857419980600437E-3</v>
      </c>
      <c r="J1127" s="44">
        <v>218.39</v>
      </c>
      <c r="K1127" s="44">
        <v>219.69</v>
      </c>
      <c r="L1127" s="44">
        <v>214.88</v>
      </c>
      <c r="M1127" s="44">
        <v>219.21</v>
      </c>
      <c r="N1127" s="44">
        <v>1518961</v>
      </c>
      <c r="O1127" s="44" t="s">
        <v>949</v>
      </c>
      <c r="P1127" s="25">
        <f t="shared" si="35"/>
        <v>-3.7407052597966395E-3</v>
      </c>
    </row>
    <row r="1128" spans="2:16">
      <c r="B1128" s="44">
        <v>348.50039471850619</v>
      </c>
      <c r="C1128" s="44">
        <v>349.22641730556808</v>
      </c>
      <c r="D1128" s="44">
        <v>342.80684916733628</v>
      </c>
      <c r="E1128" s="44">
        <v>344.94670521341351</v>
      </c>
      <c r="F1128" s="44">
        <v>5500841.8073628098</v>
      </c>
      <c r="G1128" s="44" t="s">
        <v>950</v>
      </c>
      <c r="H1128" s="25">
        <f t="shared" si="36"/>
        <v>1.0302140740535704E-2</v>
      </c>
      <c r="J1128" s="44">
        <v>221.61</v>
      </c>
      <c r="K1128" s="44">
        <v>222.98990000000001</v>
      </c>
      <c r="L1128" s="44">
        <v>216.9</v>
      </c>
      <c r="M1128" s="44">
        <v>222.28</v>
      </c>
      <c r="N1128" s="44">
        <v>1496350</v>
      </c>
      <c r="O1128" s="44" t="s">
        <v>950</v>
      </c>
      <c r="P1128" s="25">
        <f t="shared" si="35"/>
        <v>-3.0142163037609748E-3</v>
      </c>
    </row>
    <row r="1129" spans="2:16">
      <c r="B1129" s="44">
        <v>342.01395607883438</v>
      </c>
      <c r="C1129" s="44">
        <v>345.7682570882468</v>
      </c>
      <c r="D1129" s="44">
        <v>334.12323690892441</v>
      </c>
      <c r="E1129" s="44">
        <v>345.25239893428176</v>
      </c>
      <c r="F1129" s="44">
        <v>9165624.7045001686</v>
      </c>
      <c r="G1129" s="44" t="s">
        <v>951</v>
      </c>
      <c r="H1129" s="25">
        <f t="shared" si="36"/>
        <v>-9.3799286129327974E-3</v>
      </c>
      <c r="J1129" s="44">
        <v>219.07</v>
      </c>
      <c r="K1129" s="44">
        <v>223.27</v>
      </c>
      <c r="L1129" s="44">
        <v>212.905</v>
      </c>
      <c r="M1129" s="44">
        <v>222.31</v>
      </c>
      <c r="N1129" s="44">
        <v>1818012</v>
      </c>
      <c r="O1129" s="44" t="s">
        <v>951</v>
      </c>
      <c r="P1129" s="25">
        <f t="shared" si="35"/>
        <v>-1.4574243173946289E-2</v>
      </c>
    </row>
    <row r="1130" spans="2:16">
      <c r="B1130" s="44">
        <v>341.92797971984021</v>
      </c>
      <c r="C1130" s="44">
        <v>346.03573909400649</v>
      </c>
      <c r="D1130" s="44">
        <v>339.94097053419705</v>
      </c>
      <c r="E1130" s="44">
        <v>341.20195713277832</v>
      </c>
      <c r="F1130" s="44">
        <v>6657096.6332590003</v>
      </c>
      <c r="G1130" s="44" t="s">
        <v>952</v>
      </c>
      <c r="H1130" s="25">
        <f t="shared" si="36"/>
        <v>2.1278382842901955E-3</v>
      </c>
      <c r="J1130" s="44">
        <v>218.14</v>
      </c>
      <c r="K1130" s="44">
        <v>221.17</v>
      </c>
      <c r="L1130" s="44">
        <v>213.96</v>
      </c>
      <c r="M1130" s="44">
        <v>215.06</v>
      </c>
      <c r="N1130" s="44">
        <v>1722882</v>
      </c>
      <c r="O1130" s="44" t="s">
        <v>952</v>
      </c>
      <c r="P1130" s="25">
        <f t="shared" si="35"/>
        <v>1.4321584674044319E-2</v>
      </c>
    </row>
    <row r="1131" spans="2:16">
      <c r="B1131" s="44">
        <v>344.23023555512873</v>
      </c>
      <c r="C1131" s="44">
        <v>354.56650449198423</v>
      </c>
      <c r="D1131" s="44">
        <v>342.95014309899324</v>
      </c>
      <c r="E1131" s="44">
        <v>354.39455177399583</v>
      </c>
      <c r="F1131" s="44">
        <v>7205716.8650507983</v>
      </c>
      <c r="G1131" s="44" t="s">
        <v>953</v>
      </c>
      <c r="H1131" s="25">
        <f t="shared" si="36"/>
        <v>-2.8680791417327045E-2</v>
      </c>
      <c r="J1131" s="44">
        <v>215.35</v>
      </c>
      <c r="K1131" s="44">
        <v>223.4</v>
      </c>
      <c r="L1131" s="44">
        <v>214.31</v>
      </c>
      <c r="M1131" s="44">
        <v>221.21</v>
      </c>
      <c r="N1131" s="44">
        <v>2031890</v>
      </c>
      <c r="O1131" s="44" t="s">
        <v>953</v>
      </c>
      <c r="P1131" s="25">
        <f t="shared" si="35"/>
        <v>-2.6490664978979339E-2</v>
      </c>
    </row>
    <row r="1132" spans="2:16">
      <c r="B1132" s="44">
        <v>358.42588771794499</v>
      </c>
      <c r="C1132" s="44">
        <v>358.76979315392168</v>
      </c>
      <c r="D1132" s="44">
        <v>353.53478818405404</v>
      </c>
      <c r="E1132" s="44">
        <v>356.95473668626687</v>
      </c>
      <c r="F1132" s="44">
        <v>4724529.1002322268</v>
      </c>
      <c r="G1132" s="44" t="s">
        <v>954</v>
      </c>
      <c r="H1132" s="25">
        <f t="shared" si="36"/>
        <v>4.1213937804420731E-3</v>
      </c>
      <c r="J1132" s="44">
        <v>225.18</v>
      </c>
      <c r="K1132" s="44">
        <v>226.29</v>
      </c>
      <c r="L1132" s="44">
        <v>220.61</v>
      </c>
      <c r="M1132" s="44">
        <v>223.52</v>
      </c>
      <c r="N1132" s="44">
        <v>1324225</v>
      </c>
      <c r="O1132" s="44" t="s">
        <v>954</v>
      </c>
      <c r="P1132" s="25">
        <f t="shared" ref="P1132:P1195" si="37">J1132/M1132-1</f>
        <v>7.4266284896205015E-3</v>
      </c>
    </row>
    <row r="1133" spans="2:16">
      <c r="B1133" s="44">
        <v>351.39493213797675</v>
      </c>
      <c r="C1133" s="44">
        <v>354.74801013874969</v>
      </c>
      <c r="D1133" s="44">
        <v>349.11178216024251</v>
      </c>
      <c r="E1133" s="44">
        <v>351.27074406387408</v>
      </c>
      <c r="F1133" s="44">
        <v>4940725.624689131</v>
      </c>
      <c r="G1133" s="44" t="s">
        <v>955</v>
      </c>
      <c r="H1133" s="25">
        <f t="shared" si="36"/>
        <v>3.5353947404193065E-4</v>
      </c>
      <c r="J1133" s="44">
        <v>219.53</v>
      </c>
      <c r="K1133" s="44">
        <v>223.3</v>
      </c>
      <c r="L1133" s="44">
        <v>217.57</v>
      </c>
      <c r="M1133" s="44">
        <v>221.12</v>
      </c>
      <c r="N1133" s="44">
        <v>1569695</v>
      </c>
      <c r="O1133" s="44" t="s">
        <v>955</v>
      </c>
      <c r="P1133" s="25">
        <f t="shared" si="37"/>
        <v>-7.1906657018813158E-3</v>
      </c>
    </row>
    <row r="1134" spans="2:16">
      <c r="B1134" s="44">
        <v>352.65591873655808</v>
      </c>
      <c r="C1134" s="44">
        <v>354.01243462291058</v>
      </c>
      <c r="D1134" s="44">
        <v>347.38423052018618</v>
      </c>
      <c r="E1134" s="44">
        <v>348.42397128828912</v>
      </c>
      <c r="F1134" s="44">
        <v>5629097.7620113064</v>
      </c>
      <c r="G1134" s="44" t="s">
        <v>956</v>
      </c>
      <c r="H1134" s="25">
        <f t="shared" si="36"/>
        <v>1.2145970992240906E-2</v>
      </c>
      <c r="J1134" s="44">
        <v>223.69</v>
      </c>
      <c r="K1134" s="44">
        <v>224.68</v>
      </c>
      <c r="L1134" s="44">
        <v>215</v>
      </c>
      <c r="M1134" s="44">
        <v>215</v>
      </c>
      <c r="N1134" s="44">
        <v>2250577</v>
      </c>
      <c r="O1134" s="44" t="s">
        <v>956</v>
      </c>
      <c r="P1134" s="25">
        <f t="shared" si="37"/>
        <v>4.0418604651162759E-2</v>
      </c>
    </row>
    <row r="1135" spans="2:16">
      <c r="B1135" s="44">
        <v>344.52637634721975</v>
      </c>
      <c r="C1135" s="44">
        <v>347.48778426813033</v>
      </c>
      <c r="D1135" s="44">
        <v>338.19278456798207</v>
      </c>
      <c r="E1135" s="44">
        <v>341.83722689645748</v>
      </c>
      <c r="F1135" s="44">
        <v>8038620.5939101502</v>
      </c>
      <c r="G1135" s="44" t="s">
        <v>957</v>
      </c>
      <c r="H1135" s="25">
        <f t="shared" si="36"/>
        <v>7.866754230301698E-3</v>
      </c>
      <c r="J1135" s="44">
        <v>211.69</v>
      </c>
      <c r="K1135" s="44">
        <v>214.06</v>
      </c>
      <c r="L1135" s="44">
        <v>207.24</v>
      </c>
      <c r="M1135" s="44">
        <v>208.08</v>
      </c>
      <c r="N1135" s="44">
        <v>2035959</v>
      </c>
      <c r="O1135" s="44" t="s">
        <v>957</v>
      </c>
      <c r="P1135" s="25">
        <f t="shared" si="37"/>
        <v>1.734909650134564E-2</v>
      </c>
    </row>
    <row r="1136" spans="2:16">
      <c r="B1136" s="44">
        <v>344.79385835297944</v>
      </c>
      <c r="C1136" s="44">
        <v>354.7575630675268</v>
      </c>
      <c r="D1136" s="44">
        <v>344.16336505368878</v>
      </c>
      <c r="E1136" s="44">
        <v>349.60853445665339</v>
      </c>
      <c r="F1136" s="44">
        <v>8402600.0688041691</v>
      </c>
      <c r="G1136" s="44" t="s">
        <v>958</v>
      </c>
      <c r="H1136" s="25">
        <f t="shared" si="36"/>
        <v>-1.3771620624641545E-2</v>
      </c>
      <c r="J1136" s="44">
        <v>210.87</v>
      </c>
      <c r="K1136" s="44">
        <v>217.89</v>
      </c>
      <c r="L1136" s="44">
        <v>208.48</v>
      </c>
      <c r="M1136" s="44">
        <v>210.74</v>
      </c>
      <c r="N1136" s="44">
        <v>2690242</v>
      </c>
      <c r="O1136" s="44" t="s">
        <v>958</v>
      </c>
      <c r="P1136" s="25">
        <f t="shared" si="37"/>
        <v>6.1687387301878616E-4</v>
      </c>
    </row>
    <row r="1137" spans="2:16">
      <c r="B1137" s="44">
        <v>350.43963926026368</v>
      </c>
      <c r="C1137" s="44">
        <v>356.53440782007317</v>
      </c>
      <c r="D1137" s="44">
        <v>346.68533825085137</v>
      </c>
      <c r="E1137" s="44">
        <v>355.27342122149184</v>
      </c>
      <c r="F1137" s="44">
        <v>8239096.2851541527</v>
      </c>
      <c r="G1137" s="44" t="s">
        <v>959</v>
      </c>
      <c r="H1137" s="25">
        <f t="shared" si="36"/>
        <v>-1.3605808012906784E-2</v>
      </c>
      <c r="J1137" s="44">
        <v>211.39</v>
      </c>
      <c r="K1137" s="44">
        <v>217.31</v>
      </c>
      <c r="L1137" s="44">
        <v>206.6</v>
      </c>
      <c r="M1137" s="44">
        <v>214.7</v>
      </c>
      <c r="N1137" s="44">
        <v>2253200</v>
      </c>
      <c r="O1137" s="44" t="s">
        <v>959</v>
      </c>
      <c r="P1137" s="25">
        <f t="shared" si="37"/>
        <v>-1.5416860735910531E-2</v>
      </c>
    </row>
    <row r="1138" spans="2:16">
      <c r="B1138" s="44">
        <v>349.54166395521338</v>
      </c>
      <c r="C1138" s="44">
        <v>356.85920739849558</v>
      </c>
      <c r="D1138" s="44">
        <v>348.20425392641511</v>
      </c>
      <c r="E1138" s="44">
        <v>355.71285594523988</v>
      </c>
      <c r="F1138" s="44">
        <v>11298346.561358746</v>
      </c>
      <c r="G1138" s="44" t="s">
        <v>960</v>
      </c>
      <c r="H1138" s="25">
        <f t="shared" si="36"/>
        <v>-1.7348802234396943E-2</v>
      </c>
      <c r="J1138" s="44">
        <v>208.71</v>
      </c>
      <c r="K1138" s="44">
        <v>221.55</v>
      </c>
      <c r="L1138" s="44">
        <v>207.18</v>
      </c>
      <c r="M1138" s="44">
        <v>221.55</v>
      </c>
      <c r="N1138" s="44">
        <v>3754694</v>
      </c>
      <c r="O1138" s="44" t="s">
        <v>960</v>
      </c>
      <c r="P1138" s="25">
        <f t="shared" si="37"/>
        <v>-5.7955314827352722E-2</v>
      </c>
    </row>
    <row r="1139" spans="2:16">
      <c r="B1139" s="44">
        <v>361.19623706331294</v>
      </c>
      <c r="C1139" s="44">
        <v>364.23406841444046</v>
      </c>
      <c r="D1139" s="44">
        <v>356.27647874309059</v>
      </c>
      <c r="E1139" s="44">
        <v>361.1102607043187</v>
      </c>
      <c r="F1139" s="44">
        <v>8332153.6103723776</v>
      </c>
      <c r="G1139" s="44" t="s">
        <v>961</v>
      </c>
      <c r="H1139" s="25">
        <f t="shared" si="36"/>
        <v>2.3808893944621268E-4</v>
      </c>
      <c r="J1139" s="44">
        <v>224.85</v>
      </c>
      <c r="K1139" s="44">
        <v>232.27</v>
      </c>
      <c r="L1139" s="44">
        <v>221.07</v>
      </c>
      <c r="M1139" s="44">
        <v>232.07</v>
      </c>
      <c r="N1139" s="44">
        <v>3014045</v>
      </c>
      <c r="O1139" s="44" t="s">
        <v>961</v>
      </c>
      <c r="P1139" s="25">
        <f t="shared" si="37"/>
        <v>-3.1111302624208248E-2</v>
      </c>
    </row>
    <row r="1140" spans="2:16">
      <c r="B1140" s="44">
        <v>363.47938704104718</v>
      </c>
      <c r="C1140" s="44">
        <v>372.86036310018955</v>
      </c>
      <c r="D1140" s="44">
        <v>359.52447452731508</v>
      </c>
      <c r="E1140" s="44">
        <v>372.77438674119537</v>
      </c>
      <c r="F1140" s="44">
        <v>10967582.031054245</v>
      </c>
      <c r="G1140" s="44" t="s">
        <v>962</v>
      </c>
      <c r="H1140" s="25">
        <f t="shared" si="36"/>
        <v>-2.4934652247450173E-2</v>
      </c>
      <c r="J1140" s="44">
        <v>233.98</v>
      </c>
      <c r="K1140" s="44">
        <v>244.67</v>
      </c>
      <c r="L1140" s="44">
        <v>231.13</v>
      </c>
      <c r="M1140" s="44">
        <v>242.93</v>
      </c>
      <c r="N1140" s="44">
        <v>3058231</v>
      </c>
      <c r="O1140" s="44" t="s">
        <v>962</v>
      </c>
      <c r="P1140" s="25">
        <f t="shared" si="37"/>
        <v>-3.6841888609887685E-2</v>
      </c>
    </row>
    <row r="1141" spans="2:16">
      <c r="B1141" s="44">
        <v>376.71019339737319</v>
      </c>
      <c r="C1141" s="44">
        <v>377.2690397308354</v>
      </c>
      <c r="D1141" s="44">
        <v>363.27877553672738</v>
      </c>
      <c r="E1141" s="44">
        <v>366.21152467130656</v>
      </c>
      <c r="F1141" s="44">
        <v>7712343.6925831232</v>
      </c>
      <c r="G1141" s="44" t="s">
        <v>963</v>
      </c>
      <c r="H1141" s="25">
        <f t="shared" si="36"/>
        <v>2.866831876874909E-2</v>
      </c>
      <c r="J1141" s="44">
        <v>246.31</v>
      </c>
      <c r="K1141" s="44">
        <v>246.99</v>
      </c>
      <c r="L1141" s="44">
        <v>233.82</v>
      </c>
      <c r="M1141" s="44">
        <v>236.99</v>
      </c>
      <c r="N1141" s="44">
        <v>2135695</v>
      </c>
      <c r="O1141" s="44" t="s">
        <v>963</v>
      </c>
      <c r="P1141" s="25">
        <f t="shared" si="37"/>
        <v>3.9326553863032077E-2</v>
      </c>
    </row>
    <row r="1142" spans="2:16">
      <c r="B1142" s="44">
        <v>365.61924308712446</v>
      </c>
      <c r="C1142" s="44">
        <v>367.84087220353399</v>
      </c>
      <c r="D1142" s="44">
        <v>363.01129353096775</v>
      </c>
      <c r="E1142" s="44">
        <v>364.55886799286293</v>
      </c>
      <c r="F1142" s="44">
        <v>5870132.7423528638</v>
      </c>
      <c r="G1142" s="44" t="s">
        <v>964</v>
      </c>
      <c r="H1142" s="25">
        <f t="shared" si="36"/>
        <v>2.9086525863424306E-3</v>
      </c>
      <c r="J1142" s="44">
        <v>238.11</v>
      </c>
      <c r="K1142" s="44">
        <v>242</v>
      </c>
      <c r="L1142" s="44">
        <v>236.14</v>
      </c>
      <c r="M1142" s="44">
        <v>239.5</v>
      </c>
      <c r="N1142" s="44">
        <v>1648169</v>
      </c>
      <c r="O1142" s="44" t="s">
        <v>964</v>
      </c>
      <c r="P1142" s="25">
        <f t="shared" si="37"/>
        <v>-5.8037578288099301E-3</v>
      </c>
    </row>
    <row r="1143" spans="2:16">
      <c r="B1143" s="44">
        <v>364.04300983889783</v>
      </c>
      <c r="C1143" s="44">
        <v>365.17980836337642</v>
      </c>
      <c r="D1143" s="44">
        <v>355.68419715890849</v>
      </c>
      <c r="E1143" s="44">
        <v>361.85538914893493</v>
      </c>
      <c r="F1143" s="44">
        <v>11239504.920945216</v>
      </c>
      <c r="G1143" s="44" t="s">
        <v>965</v>
      </c>
      <c r="H1143" s="25">
        <f t="shared" si="36"/>
        <v>6.0455661448295395E-3</v>
      </c>
      <c r="J1143" s="44">
        <v>240.66</v>
      </c>
      <c r="K1143" s="44">
        <v>242.23500000000001</v>
      </c>
      <c r="L1143" s="44">
        <v>234.15</v>
      </c>
      <c r="M1143" s="44">
        <v>239.99</v>
      </c>
      <c r="N1143" s="44">
        <v>2421419</v>
      </c>
      <c r="O1143" s="44" t="s">
        <v>965</v>
      </c>
      <c r="P1143" s="25">
        <f t="shared" si="37"/>
        <v>2.7917829909578362E-3</v>
      </c>
    </row>
    <row r="1144" spans="2:16">
      <c r="B1144" s="44">
        <v>361.76941278994076</v>
      </c>
      <c r="C1144" s="44">
        <v>373.94939698078241</v>
      </c>
      <c r="D1144" s="44">
        <v>361.10070777554159</v>
      </c>
      <c r="E1144" s="44">
        <v>372.01015243902492</v>
      </c>
      <c r="F1144" s="44">
        <v>8606725.9495150372</v>
      </c>
      <c r="G1144" s="44" t="s">
        <v>966</v>
      </c>
      <c r="H1144" s="25">
        <f t="shared" si="36"/>
        <v>-2.7528118740691387E-2</v>
      </c>
      <c r="J1144" s="44">
        <v>239.3</v>
      </c>
      <c r="K1144" s="44">
        <v>246.3</v>
      </c>
      <c r="L1144" s="44">
        <v>238.5</v>
      </c>
      <c r="M1144" s="44">
        <v>241.45</v>
      </c>
      <c r="N1144" s="44">
        <v>2913611</v>
      </c>
      <c r="O1144" s="44" t="s">
        <v>966</v>
      </c>
      <c r="P1144" s="25">
        <f t="shared" si="37"/>
        <v>-8.9045351004347628E-3</v>
      </c>
    </row>
    <row r="1145" spans="2:16">
      <c r="B1145" s="44">
        <v>375.56384194411754</v>
      </c>
      <c r="C1145" s="44">
        <v>377.24515740889251</v>
      </c>
      <c r="D1145" s="44">
        <v>366.70827696771732</v>
      </c>
      <c r="E1145" s="44">
        <v>370.87335391454639</v>
      </c>
      <c r="F1145" s="44">
        <v>7365481.4812859464</v>
      </c>
      <c r="G1145" s="44" t="s">
        <v>967</v>
      </c>
      <c r="H1145" s="25">
        <f t="shared" si="36"/>
        <v>1.2647142157999003E-2</v>
      </c>
      <c r="J1145" s="44">
        <v>243.26</v>
      </c>
      <c r="K1145" s="44">
        <v>244.59</v>
      </c>
      <c r="L1145" s="44">
        <v>235.95</v>
      </c>
      <c r="M1145" s="44">
        <v>236.29</v>
      </c>
      <c r="N1145" s="44">
        <v>3152399</v>
      </c>
      <c r="O1145" s="44" t="s">
        <v>967</v>
      </c>
      <c r="P1145" s="25">
        <f t="shared" si="37"/>
        <v>2.9497651191332741E-2</v>
      </c>
    </row>
    <row r="1146" spans="2:16">
      <c r="B1146" s="44">
        <v>366.38347738929485</v>
      </c>
      <c r="C1146" s="44">
        <v>371.37010621095715</v>
      </c>
      <c r="D1146" s="44">
        <v>364.44423284753736</v>
      </c>
      <c r="E1146" s="44">
        <v>366.35481860296352</v>
      </c>
      <c r="F1146" s="44">
        <v>6715952.9288639668</v>
      </c>
      <c r="G1146" s="44" t="s">
        <v>968</v>
      </c>
      <c r="H1146" s="25">
        <f t="shared" si="36"/>
        <v>7.8226857887608858E-5</v>
      </c>
      <c r="J1146" s="44">
        <v>235.35</v>
      </c>
      <c r="K1146" s="44">
        <v>247.93</v>
      </c>
      <c r="L1146" s="44">
        <v>235.07</v>
      </c>
      <c r="M1146" s="44">
        <v>244.44</v>
      </c>
      <c r="N1146" s="44">
        <v>3849143</v>
      </c>
      <c r="O1146" s="44" t="s">
        <v>968</v>
      </c>
      <c r="P1146" s="25">
        <f t="shared" si="37"/>
        <v>-3.7187039764359331E-2</v>
      </c>
    </row>
    <row r="1147" spans="2:16">
      <c r="B1147" s="44">
        <v>365.437737440359</v>
      </c>
      <c r="C1147" s="44">
        <v>374.08313798366225</v>
      </c>
      <c r="D1147" s="44">
        <v>365.34220815258766</v>
      </c>
      <c r="E1147" s="44">
        <v>373.90163233689674</v>
      </c>
      <c r="F1147" s="44">
        <v>8890450.45570926</v>
      </c>
      <c r="G1147" s="44" t="s">
        <v>969</v>
      </c>
      <c r="H1147" s="25">
        <f t="shared" si="36"/>
        <v>-2.263668880940195E-2</v>
      </c>
      <c r="J1147" s="44">
        <v>244.52</v>
      </c>
      <c r="K1147" s="44">
        <v>255.64</v>
      </c>
      <c r="L1147" s="44">
        <v>244.44</v>
      </c>
      <c r="M1147" s="44">
        <v>253.04</v>
      </c>
      <c r="N1147" s="44">
        <v>2484412</v>
      </c>
      <c r="O1147" s="44" t="s">
        <v>969</v>
      </c>
      <c r="P1147" s="25">
        <f t="shared" si="37"/>
        <v>-3.3670565918431761E-2</v>
      </c>
    </row>
    <row r="1148" spans="2:16">
      <c r="B1148" s="44">
        <v>376.19433524340815</v>
      </c>
      <c r="C1148" s="44">
        <v>376.44118292300925</v>
      </c>
      <c r="D1148" s="44">
        <v>367.78775791953314</v>
      </c>
      <c r="E1148" s="44">
        <v>372.01015243902492</v>
      </c>
      <c r="F1148" s="44">
        <v>8522184.3373203129</v>
      </c>
      <c r="G1148" s="44" t="s">
        <v>970</v>
      </c>
      <c r="H1148" s="25">
        <f t="shared" si="36"/>
        <v>1.1247496276513669E-2</v>
      </c>
      <c r="J1148" s="44">
        <v>255.12</v>
      </c>
      <c r="K1148" s="44">
        <v>259.72000000000003</v>
      </c>
      <c r="L1148" s="44">
        <v>250.29</v>
      </c>
      <c r="M1148" s="44">
        <v>250.29</v>
      </c>
      <c r="N1148" s="44">
        <v>3253919</v>
      </c>
      <c r="O1148" s="44" t="s">
        <v>970</v>
      </c>
      <c r="P1148" s="25">
        <f t="shared" si="37"/>
        <v>1.9297614766870419E-2</v>
      </c>
    </row>
    <row r="1149" spans="2:16">
      <c r="B1149" s="44">
        <v>374.15000848510221</v>
      </c>
      <c r="C1149" s="44">
        <v>383.91787815971833</v>
      </c>
      <c r="D1149" s="44">
        <v>373.61504447358288</v>
      </c>
      <c r="E1149" s="44">
        <v>383.71249019101003</v>
      </c>
      <c r="F1149" s="44">
        <v>6622510.3814708609</v>
      </c>
      <c r="G1149" s="44" t="s">
        <v>971</v>
      </c>
      <c r="H1149" s="25">
        <f t="shared" si="36"/>
        <v>-2.4920955012821433E-2</v>
      </c>
      <c r="J1149" s="44">
        <v>252.34</v>
      </c>
      <c r="K1149" s="44">
        <v>276.32</v>
      </c>
      <c r="L1149" s="44">
        <v>251.52</v>
      </c>
      <c r="M1149" s="44">
        <v>275</v>
      </c>
      <c r="N1149" s="44">
        <v>6845303</v>
      </c>
      <c r="O1149" s="44" t="s">
        <v>971</v>
      </c>
      <c r="P1149" s="25">
        <f t="shared" si="37"/>
        <v>-8.2400000000000029E-2</v>
      </c>
    </row>
    <row r="1150" spans="2:16">
      <c r="B1150" s="44">
        <v>384.64867721116883</v>
      </c>
      <c r="C1150" s="44">
        <v>395.18555765234407</v>
      </c>
      <c r="D1150" s="44">
        <v>383.83667826511277</v>
      </c>
      <c r="E1150" s="44">
        <v>393.94367691131703</v>
      </c>
      <c r="F1150" s="44">
        <v>4888713.3034846131</v>
      </c>
      <c r="G1150" s="44" t="s">
        <v>972</v>
      </c>
      <c r="H1150" s="25">
        <f t="shared" si="36"/>
        <v>-2.3594742713031636E-2</v>
      </c>
      <c r="J1150" s="44">
        <v>294.57</v>
      </c>
      <c r="K1150" s="44">
        <v>308</v>
      </c>
      <c r="L1150" s="44">
        <v>293.81</v>
      </c>
      <c r="M1150" s="44">
        <v>303.32</v>
      </c>
      <c r="N1150" s="44">
        <v>2496811</v>
      </c>
      <c r="O1150" s="44" t="s">
        <v>972</v>
      </c>
      <c r="P1150" s="25">
        <f t="shared" si="37"/>
        <v>-2.8847421864697353E-2</v>
      </c>
    </row>
    <row r="1151" spans="2:16">
      <c r="B1151" s="44">
        <v>390.43775205011008</v>
      </c>
      <c r="C1151" s="44">
        <v>392.99793696238112</v>
      </c>
      <c r="D1151" s="44">
        <v>389.4442474572885</v>
      </c>
      <c r="E1151" s="44">
        <v>392.45342002208463</v>
      </c>
      <c r="F1151" s="44">
        <v>5304283.2394296797</v>
      </c>
      <c r="G1151" s="44" t="s">
        <v>973</v>
      </c>
      <c r="H1151" s="25">
        <f t="shared" si="36"/>
        <v>-5.1360693247650691E-3</v>
      </c>
      <c r="J1151" s="44">
        <v>302.89999999999998</v>
      </c>
      <c r="K1151" s="44">
        <v>307.37</v>
      </c>
      <c r="L1151" s="44">
        <v>294.93</v>
      </c>
      <c r="M1151" s="44">
        <v>297.08</v>
      </c>
      <c r="N1151" s="44">
        <v>2161221</v>
      </c>
      <c r="O1151" s="44" t="s">
        <v>973</v>
      </c>
      <c r="P1151" s="25">
        <f t="shared" si="37"/>
        <v>1.9590682644405444E-2</v>
      </c>
    </row>
    <row r="1152" spans="2:16">
      <c r="B1152" s="44">
        <v>390.7338928422011</v>
      </c>
      <c r="C1152" s="44">
        <v>391.45036250048594</v>
      </c>
      <c r="D1152" s="44">
        <v>384.37164227663209</v>
      </c>
      <c r="E1152" s="44">
        <v>384.58180670972894</v>
      </c>
      <c r="F1152" s="44">
        <v>4021290.3179979706</v>
      </c>
      <c r="G1152" s="44" t="s">
        <v>974</v>
      </c>
      <c r="H1152" s="25">
        <f t="shared" si="36"/>
        <v>1.5996820507724996E-2</v>
      </c>
      <c r="J1152" s="44">
        <v>294.86</v>
      </c>
      <c r="K1152" s="44">
        <v>295.69</v>
      </c>
      <c r="L1152" s="44">
        <v>278.04000000000002</v>
      </c>
      <c r="M1152" s="44">
        <v>278.5</v>
      </c>
      <c r="N1152" s="44">
        <v>2660041</v>
      </c>
      <c r="O1152" s="44" t="s">
        <v>974</v>
      </c>
      <c r="P1152" s="25">
        <f t="shared" si="37"/>
        <v>5.8743267504488328E-2</v>
      </c>
    </row>
    <row r="1153" spans="2:16">
      <c r="B1153" s="44">
        <v>384.59135963850605</v>
      </c>
      <c r="C1153" s="44">
        <v>386.1484870291784</v>
      </c>
      <c r="D1153" s="44">
        <v>382.53747995142294</v>
      </c>
      <c r="E1153" s="44">
        <v>383.59785504568447</v>
      </c>
      <c r="F1153" s="44">
        <v>4507379.9883320061</v>
      </c>
      <c r="G1153" s="44" t="s">
        <v>975</v>
      </c>
      <c r="H1153" s="25">
        <f t="shared" si="36"/>
        <v>2.5899638899264943E-3</v>
      </c>
      <c r="J1153" s="44">
        <v>276.35000000000002</v>
      </c>
      <c r="K1153" s="44">
        <v>280.27999999999997</v>
      </c>
      <c r="L1153" s="44">
        <v>273.41000000000003</v>
      </c>
      <c r="M1153" s="44">
        <v>278.99</v>
      </c>
      <c r="N1153" s="44">
        <v>1127067</v>
      </c>
      <c r="O1153" s="44" t="s">
        <v>975</v>
      </c>
      <c r="P1153" s="25">
        <f t="shared" si="37"/>
        <v>-9.4627047564428413E-3</v>
      </c>
    </row>
    <row r="1154" spans="2:16">
      <c r="B1154" s="44">
        <v>384.52448913706615</v>
      </c>
      <c r="C1154" s="44">
        <v>390.50462255154997</v>
      </c>
      <c r="D1154" s="44">
        <v>384.35253641907775</v>
      </c>
      <c r="E1154" s="44">
        <v>389.49201210117417</v>
      </c>
      <c r="F1154" s="44">
        <v>3910506.4919389356</v>
      </c>
      <c r="G1154" s="44" t="s">
        <v>976</v>
      </c>
      <c r="H1154" s="25">
        <f t="shared" ref="H1154:H1217" si="38">B1154/E1154-1</f>
        <v>-1.2753850681840539E-2</v>
      </c>
      <c r="J1154" s="44">
        <v>279.7</v>
      </c>
      <c r="K1154" s="44">
        <v>287.14999999999998</v>
      </c>
      <c r="L1154" s="44">
        <v>278.95</v>
      </c>
      <c r="M1154" s="44">
        <v>286.10000000000002</v>
      </c>
      <c r="N1154" s="44">
        <v>1582532</v>
      </c>
      <c r="O1154" s="44" t="s">
        <v>976</v>
      </c>
      <c r="P1154" s="25">
        <f t="shared" si="37"/>
        <v>-2.2369800768962E-2</v>
      </c>
    </row>
    <row r="1155" spans="2:16">
      <c r="B1155" s="44">
        <v>389.25318888174587</v>
      </c>
      <c r="C1155" s="44">
        <v>389.95055268247643</v>
      </c>
      <c r="D1155" s="44">
        <v>384.48627742195765</v>
      </c>
      <c r="E1155" s="44">
        <v>384.57225378095183</v>
      </c>
      <c r="F1155" s="44">
        <v>4562694.9616064867</v>
      </c>
      <c r="G1155" s="44" t="s">
        <v>977</v>
      </c>
      <c r="H1155" s="25">
        <f t="shared" si="38"/>
        <v>1.2171796209354824E-2</v>
      </c>
      <c r="J1155" s="44">
        <v>285.22000000000003</v>
      </c>
      <c r="K1155" s="44">
        <v>286.25</v>
      </c>
      <c r="L1155" s="44">
        <v>278.6001</v>
      </c>
      <c r="M1155" s="44">
        <v>279.17</v>
      </c>
      <c r="N1155" s="44">
        <v>1133618</v>
      </c>
      <c r="O1155" s="44" t="s">
        <v>977</v>
      </c>
      <c r="P1155" s="25">
        <f t="shared" si="37"/>
        <v>2.1671383028262436E-2</v>
      </c>
    </row>
    <row r="1156" spans="2:16">
      <c r="B1156" s="44">
        <v>384.90660628815141</v>
      </c>
      <c r="C1156" s="44">
        <v>391.39304492782315</v>
      </c>
      <c r="D1156" s="44">
        <v>383.42590232769612</v>
      </c>
      <c r="E1156" s="44">
        <v>389.11944787886603</v>
      </c>
      <c r="F1156" s="44">
        <v>6925429.0012482358</v>
      </c>
      <c r="G1156" s="44" t="s">
        <v>978</v>
      </c>
      <c r="H1156" s="25">
        <f t="shared" si="38"/>
        <v>-1.0826602509022121E-2</v>
      </c>
      <c r="J1156" s="44">
        <v>277.85000000000002</v>
      </c>
      <c r="K1156" s="44">
        <v>286.39999999999998</v>
      </c>
      <c r="L1156" s="44">
        <v>276.19</v>
      </c>
      <c r="M1156" s="44">
        <v>281.06</v>
      </c>
      <c r="N1156" s="44">
        <v>1138837</v>
      </c>
      <c r="O1156" s="44" t="s">
        <v>978</v>
      </c>
      <c r="P1156" s="25">
        <f t="shared" si="37"/>
        <v>-1.1421048886358753E-2</v>
      </c>
    </row>
    <row r="1157" spans="2:16">
      <c r="B1157" s="44">
        <v>386.32043974716669</v>
      </c>
      <c r="C1157" s="44">
        <v>390.77134032300745</v>
      </c>
      <c r="D1157" s="44">
        <v>385.86667563025304</v>
      </c>
      <c r="E1157" s="44">
        <v>390.23714054579034</v>
      </c>
      <c r="F1157" s="44">
        <v>3499224.2462881859</v>
      </c>
      <c r="G1157" s="44" t="s">
        <v>979</v>
      </c>
      <c r="H1157" s="25">
        <f t="shared" si="38"/>
        <v>-1.0036719706242536E-2</v>
      </c>
      <c r="J1157" s="44">
        <v>278.95999999999998</v>
      </c>
      <c r="K1157" s="44">
        <v>286.68</v>
      </c>
      <c r="L1157" s="44">
        <v>278.47000000000003</v>
      </c>
      <c r="M1157" s="44">
        <v>286.27999999999997</v>
      </c>
      <c r="N1157" s="44">
        <v>1391474</v>
      </c>
      <c r="O1157" s="44" t="s">
        <v>979</v>
      </c>
      <c r="P1157" s="25">
        <f t="shared" si="37"/>
        <v>-2.556937264216852E-2</v>
      </c>
    </row>
    <row r="1158" spans="2:16">
      <c r="B1158" s="44">
        <v>393.13167796526091</v>
      </c>
      <c r="C1158" s="44">
        <v>395.70141580630911</v>
      </c>
      <c r="D1158" s="44">
        <v>391.65097400480568</v>
      </c>
      <c r="E1158" s="44">
        <v>393.43737168612915</v>
      </c>
      <c r="F1158" s="44">
        <v>4975240.6941188676</v>
      </c>
      <c r="G1158" s="44" t="s">
        <v>980</v>
      </c>
      <c r="H1158" s="25">
        <f t="shared" si="38"/>
        <v>-7.7698191089003998E-4</v>
      </c>
      <c r="J1158" s="44">
        <v>289.86</v>
      </c>
      <c r="K1158" s="44">
        <v>293</v>
      </c>
      <c r="L1158" s="44">
        <v>287.08</v>
      </c>
      <c r="M1158" s="44">
        <v>290.04000000000002</v>
      </c>
      <c r="N1158" s="44">
        <v>959831</v>
      </c>
      <c r="O1158" s="44" t="s">
        <v>980</v>
      </c>
      <c r="P1158" s="25">
        <f t="shared" si="37"/>
        <v>-6.2060405461317192E-4</v>
      </c>
    </row>
    <row r="1159" spans="2:16">
      <c r="B1159" s="44">
        <v>394.08697084297398</v>
      </c>
      <c r="C1159" s="44">
        <v>395.77783923652618</v>
      </c>
      <c r="D1159" s="44">
        <v>389.51111795872839</v>
      </c>
      <c r="E1159" s="44">
        <v>391.28796271127476</v>
      </c>
      <c r="F1159" s="44">
        <v>5185899.6498118713</v>
      </c>
      <c r="G1159" s="44" t="s">
        <v>981</v>
      </c>
      <c r="H1159" s="25">
        <f t="shared" si="38"/>
        <v>7.1533203124998224E-3</v>
      </c>
      <c r="J1159" s="44">
        <v>291.82</v>
      </c>
      <c r="K1159" s="44">
        <v>293.56</v>
      </c>
      <c r="L1159" s="44">
        <v>286.12</v>
      </c>
      <c r="M1159" s="44">
        <v>286.38</v>
      </c>
      <c r="N1159" s="44">
        <v>1329548</v>
      </c>
      <c r="O1159" s="44" t="s">
        <v>981</v>
      </c>
      <c r="P1159" s="25">
        <f t="shared" si="37"/>
        <v>1.8995739925972366E-2</v>
      </c>
    </row>
    <row r="1160" spans="2:16">
      <c r="B1160" s="44">
        <v>392.10951458610793</v>
      </c>
      <c r="C1160" s="44">
        <v>394.21115891707672</v>
      </c>
      <c r="D1160" s="44">
        <v>389.41558867095705</v>
      </c>
      <c r="E1160" s="44">
        <v>392.39610244942185</v>
      </c>
      <c r="F1160" s="44">
        <v>5800018.1193271512</v>
      </c>
      <c r="G1160" s="44" t="s">
        <v>982</v>
      </c>
      <c r="H1160" s="25">
        <f t="shared" si="38"/>
        <v>-7.3035349108963032E-4</v>
      </c>
      <c r="J1160" s="44">
        <v>288.67</v>
      </c>
      <c r="K1160" s="44">
        <v>291.77</v>
      </c>
      <c r="L1160" s="44">
        <v>283.25</v>
      </c>
      <c r="M1160" s="44">
        <v>290.95</v>
      </c>
      <c r="N1160" s="44">
        <v>1939712</v>
      </c>
      <c r="O1160" s="44" t="s">
        <v>982</v>
      </c>
      <c r="P1160" s="25">
        <f t="shared" si="37"/>
        <v>-7.836398006530243E-3</v>
      </c>
    </row>
    <row r="1161" spans="2:16">
      <c r="B1161" s="44">
        <v>396.12174467250287</v>
      </c>
      <c r="C1161" s="44">
        <v>402.0063487992154</v>
      </c>
      <c r="D1161" s="44">
        <v>395.01360493435573</v>
      </c>
      <c r="E1161" s="44">
        <v>399.84738689558384</v>
      </c>
      <c r="F1161" s="44">
        <v>4304473.6289084628</v>
      </c>
      <c r="G1161" s="44" t="s">
        <v>983</v>
      </c>
      <c r="H1161" s="25">
        <f t="shared" si="38"/>
        <v>-9.317660550458684E-3</v>
      </c>
      <c r="J1161" s="44">
        <v>295.92</v>
      </c>
      <c r="K1161" s="44">
        <v>303.8</v>
      </c>
      <c r="L1161" s="44">
        <v>293.33999999999997</v>
      </c>
      <c r="M1161" s="44">
        <v>301.99</v>
      </c>
      <c r="N1161" s="44">
        <v>1488893</v>
      </c>
      <c r="O1161" s="44" t="s">
        <v>983</v>
      </c>
      <c r="P1161" s="25">
        <f t="shared" si="37"/>
        <v>-2.0100003311367853E-2</v>
      </c>
    </row>
    <row r="1162" spans="2:16">
      <c r="B1162" s="44">
        <v>401.07971470783372</v>
      </c>
      <c r="C1162" s="44">
        <v>401.18479692438211</v>
      </c>
      <c r="D1162" s="44">
        <v>397.13435512287873</v>
      </c>
      <c r="E1162" s="44">
        <v>397.83171892360923</v>
      </c>
      <c r="F1162" s="44">
        <v>5356690.2040035715</v>
      </c>
      <c r="G1162" s="44" t="s">
        <v>984</v>
      </c>
      <c r="H1162" s="25">
        <f t="shared" si="38"/>
        <v>8.1642454076120696E-3</v>
      </c>
      <c r="J1162" s="44">
        <v>302.25</v>
      </c>
      <c r="K1162" s="44">
        <v>308.97000000000003</v>
      </c>
      <c r="L1162" s="44">
        <v>301.08999999999997</v>
      </c>
      <c r="M1162" s="44">
        <v>306.5</v>
      </c>
      <c r="N1162" s="44">
        <v>1561520</v>
      </c>
      <c r="O1162" s="44" t="s">
        <v>984</v>
      </c>
      <c r="P1162" s="25">
        <f t="shared" si="37"/>
        <v>-1.3866231647634564E-2</v>
      </c>
    </row>
    <row r="1163" spans="2:16">
      <c r="B1163" s="44">
        <v>397.70753084950655</v>
      </c>
      <c r="C1163" s="44">
        <v>398.18326670260768</v>
      </c>
      <c r="D1163" s="44">
        <v>394.41177042139645</v>
      </c>
      <c r="E1163" s="44">
        <v>398.05143628548325</v>
      </c>
      <c r="F1163" s="44">
        <v>4881295.6830193968</v>
      </c>
      <c r="G1163" s="44" t="s">
        <v>985</v>
      </c>
      <c r="H1163" s="25">
        <f t="shared" si="38"/>
        <v>-8.6397235288471208E-4</v>
      </c>
      <c r="J1163" s="44">
        <v>305.54000000000002</v>
      </c>
      <c r="K1163" s="44">
        <v>306.07</v>
      </c>
      <c r="L1163" s="44">
        <v>301.2</v>
      </c>
      <c r="M1163" s="44">
        <v>303.995</v>
      </c>
      <c r="N1163" s="44">
        <v>1470411</v>
      </c>
      <c r="O1163" s="44" t="s">
        <v>985</v>
      </c>
      <c r="P1163" s="25">
        <f t="shared" si="37"/>
        <v>5.082320432901799E-3</v>
      </c>
    </row>
    <row r="1164" spans="2:16">
      <c r="B1164" s="44">
        <v>396.60894404013652</v>
      </c>
      <c r="C1164" s="44">
        <v>402.81834774527152</v>
      </c>
      <c r="D1164" s="44">
        <v>396.49430889481096</v>
      </c>
      <c r="E1164" s="44">
        <v>402.14964273087236</v>
      </c>
      <c r="F1164" s="44">
        <v>6151662.1102299038</v>
      </c>
      <c r="G1164" s="44" t="s">
        <v>986</v>
      </c>
      <c r="H1164" s="25">
        <f t="shared" si="38"/>
        <v>-1.3777703874385372E-2</v>
      </c>
      <c r="J1164" s="44">
        <v>301.68</v>
      </c>
      <c r="K1164" s="44">
        <v>307.85000000000002</v>
      </c>
      <c r="L1164" s="44">
        <v>301.58999999999997</v>
      </c>
      <c r="M1164" s="44">
        <v>305.08</v>
      </c>
      <c r="N1164" s="44">
        <v>2733610</v>
      </c>
      <c r="O1164" s="44" t="s">
        <v>986</v>
      </c>
      <c r="P1164" s="25">
        <f t="shared" si="37"/>
        <v>-1.1144617805165735E-2</v>
      </c>
    </row>
    <row r="1165" spans="2:16">
      <c r="B1165" s="44">
        <v>402.79924188771724</v>
      </c>
      <c r="C1165" s="44">
        <v>405.05373307912009</v>
      </c>
      <c r="D1165" s="44">
        <v>400.83133855962831</v>
      </c>
      <c r="E1165" s="44">
        <v>404.33726342083526</v>
      </c>
      <c r="F1165" s="44">
        <v>5018705.8983182348</v>
      </c>
      <c r="G1165" s="44" t="s">
        <v>987</v>
      </c>
      <c r="H1165" s="25">
        <f t="shared" si="38"/>
        <v>-3.8038085337617211E-3</v>
      </c>
      <c r="J1165" s="44">
        <v>304.44</v>
      </c>
      <c r="K1165" s="44">
        <v>306.58999999999997</v>
      </c>
      <c r="L1165" s="44">
        <v>299.52</v>
      </c>
      <c r="M1165" s="44">
        <v>301.68</v>
      </c>
      <c r="N1165" s="44">
        <v>1914753</v>
      </c>
      <c r="O1165" s="44" t="s">
        <v>987</v>
      </c>
      <c r="P1165" s="25">
        <f t="shared" si="37"/>
        <v>9.1487669053300635E-3</v>
      </c>
    </row>
    <row r="1166" spans="2:16">
      <c r="B1166" s="44">
        <v>405.32121508487978</v>
      </c>
      <c r="C1166" s="44">
        <v>405.73199102229643</v>
      </c>
      <c r="D1166" s="44">
        <v>401.46183185891891</v>
      </c>
      <c r="E1166" s="44">
        <v>404.05067555752134</v>
      </c>
      <c r="F1166" s="44">
        <v>5768444.5561784273</v>
      </c>
      <c r="G1166" s="44" t="s">
        <v>988</v>
      </c>
      <c r="H1166" s="25">
        <f t="shared" si="38"/>
        <v>3.1445053905807541E-3</v>
      </c>
      <c r="J1166" s="44">
        <v>302</v>
      </c>
      <c r="K1166" s="44">
        <v>302.505</v>
      </c>
      <c r="L1166" s="44">
        <v>298.35000000000002</v>
      </c>
      <c r="M1166" s="44">
        <v>298.35000000000002</v>
      </c>
      <c r="N1166" s="44">
        <v>1618904</v>
      </c>
      <c r="O1166" s="44" t="s">
        <v>988</v>
      </c>
      <c r="P1166" s="25">
        <f t="shared" si="37"/>
        <v>1.2233953410423881E-2</v>
      </c>
    </row>
    <row r="1167" spans="2:16">
      <c r="B1167" s="44">
        <v>400.25816283300048</v>
      </c>
      <c r="C1167" s="44">
        <v>400.31548040566327</v>
      </c>
      <c r="D1167" s="44">
        <v>395.19511058112118</v>
      </c>
      <c r="E1167" s="44">
        <v>396.92419068978182</v>
      </c>
      <c r="F1167" s="44">
        <v>3554233.5541412937</v>
      </c>
      <c r="G1167" s="44" t="s">
        <v>989</v>
      </c>
      <c r="H1167" s="25">
        <f t="shared" si="38"/>
        <v>8.3995186522263232E-3</v>
      </c>
      <c r="J1167" s="44">
        <v>294.95</v>
      </c>
      <c r="K1167" s="44">
        <v>295.45830000000001</v>
      </c>
      <c r="L1167" s="44">
        <v>285.32</v>
      </c>
      <c r="M1167" s="44">
        <v>286.04000000000002</v>
      </c>
      <c r="N1167" s="44">
        <v>1963579</v>
      </c>
      <c r="O1167" s="44" t="s">
        <v>989</v>
      </c>
      <c r="P1167" s="25">
        <f t="shared" si="37"/>
        <v>3.1149489581876466E-2</v>
      </c>
    </row>
    <row r="1168" spans="2:16">
      <c r="B1168" s="44">
        <v>397.51647227396393</v>
      </c>
      <c r="C1168" s="44">
        <v>397.74392750814741</v>
      </c>
      <c r="D1168" s="44">
        <v>393.77650065771724</v>
      </c>
      <c r="E1168" s="44">
        <v>396.2459327466056</v>
      </c>
      <c r="F1168" s="44">
        <v>3813757.1052783141</v>
      </c>
      <c r="G1168" s="44" t="s">
        <v>990</v>
      </c>
      <c r="H1168" s="25">
        <f t="shared" si="38"/>
        <v>3.2064418139297057E-3</v>
      </c>
      <c r="J1168" s="44">
        <v>286.87</v>
      </c>
      <c r="K1168" s="44">
        <v>286.94</v>
      </c>
      <c r="L1168" s="44">
        <v>282.27999999999997</v>
      </c>
      <c r="M1168" s="44">
        <v>285.08999999999997</v>
      </c>
      <c r="N1168" s="44">
        <v>1435113</v>
      </c>
      <c r="O1168" s="44" t="s">
        <v>990</v>
      </c>
      <c r="P1168" s="25">
        <f t="shared" si="37"/>
        <v>6.2436423585534584E-3</v>
      </c>
    </row>
    <row r="1169" spans="2:16">
      <c r="B1169" s="44">
        <v>395.51035723076649</v>
      </c>
      <c r="C1169" s="44">
        <v>395.58678066098355</v>
      </c>
      <c r="D1169" s="44">
        <v>390.53328133788136</v>
      </c>
      <c r="E1169" s="44">
        <v>391.5649976458115</v>
      </c>
      <c r="F1169" s="44">
        <v>3116653.6142586544</v>
      </c>
      <c r="G1169" s="44" t="s">
        <v>991</v>
      </c>
      <c r="H1169" s="25">
        <f t="shared" si="38"/>
        <v>1.0075874014979558E-2</v>
      </c>
      <c r="J1169" s="44">
        <v>281.08</v>
      </c>
      <c r="K1169" s="44">
        <v>281.19</v>
      </c>
      <c r="L1169" s="44">
        <v>273.64999999999998</v>
      </c>
      <c r="M1169" s="44">
        <v>276.82</v>
      </c>
      <c r="N1169" s="44">
        <v>1513251</v>
      </c>
      <c r="O1169" s="44" t="s">
        <v>991</v>
      </c>
      <c r="P1169" s="25">
        <f t="shared" si="37"/>
        <v>1.538906148399688E-2</v>
      </c>
    </row>
    <row r="1170" spans="2:16">
      <c r="B1170" s="44">
        <v>389.71774780817771</v>
      </c>
      <c r="C1170" s="44">
        <v>393.80220078767371</v>
      </c>
      <c r="D1170" s="44">
        <v>389.67966433051345</v>
      </c>
      <c r="E1170" s="44">
        <v>392.41215385292685</v>
      </c>
      <c r="F1170" s="44">
        <v>3930904.6647370933</v>
      </c>
      <c r="G1170" s="44" t="s">
        <v>992</v>
      </c>
      <c r="H1170" s="25">
        <f t="shared" si="38"/>
        <v>-6.8662655279504436E-3</v>
      </c>
      <c r="J1170" s="44">
        <v>275.2</v>
      </c>
      <c r="K1170" s="44">
        <v>284.52</v>
      </c>
      <c r="L1170" s="44">
        <v>274.52</v>
      </c>
      <c r="M1170" s="44">
        <v>284.52</v>
      </c>
      <c r="N1170" s="44">
        <v>1639565</v>
      </c>
      <c r="O1170" s="44" t="s">
        <v>992</v>
      </c>
      <c r="P1170" s="25">
        <f t="shared" si="37"/>
        <v>-3.2756923942077854E-2</v>
      </c>
    </row>
    <row r="1171" spans="2:16">
      <c r="B1171" s="44">
        <v>394.80189207636153</v>
      </c>
      <c r="C1171" s="44">
        <v>395.61116597672782</v>
      </c>
      <c r="D1171" s="44">
        <v>391.49815038898367</v>
      </c>
      <c r="E1171" s="44">
        <v>391.49815038898367</v>
      </c>
      <c r="F1171" s="44">
        <v>4444672.8707941398</v>
      </c>
      <c r="G1171" s="44" t="s">
        <v>993</v>
      </c>
      <c r="H1171" s="25">
        <f t="shared" si="38"/>
        <v>8.438715953307474E-3</v>
      </c>
      <c r="J1171" s="44">
        <v>286.44</v>
      </c>
      <c r="K1171" s="44">
        <v>287.91000000000003</v>
      </c>
      <c r="L1171" s="44">
        <v>281.74</v>
      </c>
      <c r="M1171" s="44">
        <v>283.11</v>
      </c>
      <c r="N1171" s="44">
        <v>1529268</v>
      </c>
      <c r="O1171" s="44" t="s">
        <v>993</v>
      </c>
      <c r="P1171" s="25">
        <f t="shared" si="37"/>
        <v>1.1762212567553165E-2</v>
      </c>
    </row>
    <row r="1172" spans="2:16">
      <c r="B1172" s="44">
        <v>390.26995823431008</v>
      </c>
      <c r="C1172" s="44">
        <v>392.02179820686774</v>
      </c>
      <c r="D1172" s="44">
        <v>386.95669567751611</v>
      </c>
      <c r="E1172" s="44">
        <v>390.20331214839752</v>
      </c>
      <c r="F1172" s="44">
        <v>4368815.3027047561</v>
      </c>
      <c r="G1172" s="44" t="s">
        <v>994</v>
      </c>
      <c r="H1172" s="25">
        <f t="shared" si="38"/>
        <v>1.7079836033584428E-4</v>
      </c>
      <c r="J1172" s="44">
        <v>283.27999999999997</v>
      </c>
      <c r="K1172" s="44">
        <v>290.08999999999997</v>
      </c>
      <c r="L1172" s="44">
        <v>279.51</v>
      </c>
      <c r="M1172" s="44">
        <v>287.66000000000003</v>
      </c>
      <c r="N1172" s="44">
        <v>1645980</v>
      </c>
      <c r="O1172" s="44" t="s">
        <v>994</v>
      </c>
      <c r="P1172" s="25">
        <f t="shared" si="37"/>
        <v>-1.5226308836821412E-2</v>
      </c>
    </row>
    <row r="1173" spans="2:16">
      <c r="B1173" s="44">
        <v>390.2509164954779</v>
      </c>
      <c r="C1173" s="44">
        <v>390.62223040270482</v>
      </c>
      <c r="D1173" s="44">
        <v>383.91953833378835</v>
      </c>
      <c r="E1173" s="44">
        <v>384.62408267057788</v>
      </c>
      <c r="F1173" s="44">
        <v>6170637.0954747116</v>
      </c>
      <c r="G1173" s="44" t="s">
        <v>995</v>
      </c>
      <c r="H1173" s="25">
        <f t="shared" si="38"/>
        <v>1.4629437100846632E-2</v>
      </c>
      <c r="J1173" s="44">
        <v>290.11</v>
      </c>
      <c r="K1173" s="44">
        <v>291.2</v>
      </c>
      <c r="L1173" s="44">
        <v>278.56</v>
      </c>
      <c r="M1173" s="44">
        <v>283.31</v>
      </c>
      <c r="N1173" s="44">
        <v>3152881</v>
      </c>
      <c r="O1173" s="44" t="s">
        <v>995</v>
      </c>
      <c r="P1173" s="25">
        <f t="shared" si="37"/>
        <v>2.4001976633369893E-2</v>
      </c>
    </row>
    <row r="1174" spans="2:16">
      <c r="B1174" s="44">
        <v>385.98556699707655</v>
      </c>
      <c r="C1174" s="44">
        <v>386.12838003831763</v>
      </c>
      <c r="D1174" s="44">
        <v>379.21622884224757</v>
      </c>
      <c r="E1174" s="44">
        <v>379.53993840239406</v>
      </c>
      <c r="F1174" s="44">
        <v>5438082.1474754727</v>
      </c>
      <c r="G1174" s="44" t="s">
        <v>996</v>
      </c>
      <c r="H1174" s="25">
        <f t="shared" si="38"/>
        <v>1.6982741320489714E-2</v>
      </c>
      <c r="J1174" s="44">
        <v>282.95</v>
      </c>
      <c r="K1174" s="44">
        <v>283.5</v>
      </c>
      <c r="L1174" s="44">
        <v>276.52999999999997</v>
      </c>
      <c r="M1174" s="44">
        <v>277.74</v>
      </c>
      <c r="N1174" s="44">
        <v>1799941</v>
      </c>
      <c r="O1174" s="44" t="s">
        <v>996</v>
      </c>
      <c r="P1174" s="25">
        <f t="shared" si="37"/>
        <v>1.8758551162957993E-2</v>
      </c>
    </row>
    <row r="1175" spans="2:16">
      <c r="B1175" s="44">
        <v>381.32034098320003</v>
      </c>
      <c r="C1175" s="44">
        <v>381.35842446086434</v>
      </c>
      <c r="D1175" s="44">
        <v>371.83755504478984</v>
      </c>
      <c r="E1175" s="44">
        <v>376.55038540574668</v>
      </c>
      <c r="F1175" s="44">
        <v>7780099.3546806499</v>
      </c>
      <c r="G1175" s="44" t="s">
        <v>997</v>
      </c>
      <c r="H1175" s="25">
        <f t="shared" si="38"/>
        <v>1.2667509481668837E-2</v>
      </c>
      <c r="J1175" s="44">
        <v>277.85000000000002</v>
      </c>
      <c r="K1175" s="44">
        <v>279.77</v>
      </c>
      <c r="L1175" s="44">
        <v>268.70999999999998</v>
      </c>
      <c r="M1175" s="44">
        <v>273.55</v>
      </c>
      <c r="N1175" s="44">
        <v>2429890</v>
      </c>
      <c r="O1175" s="44" t="s">
        <v>997</v>
      </c>
      <c r="P1175" s="25">
        <f t="shared" si="37"/>
        <v>1.5719246938402431E-2</v>
      </c>
    </row>
    <row r="1176" spans="2:16">
      <c r="B1176" s="44">
        <v>372.98005937471873</v>
      </c>
      <c r="C1176" s="44">
        <v>373.57035327851537</v>
      </c>
      <c r="D1176" s="44">
        <v>366.2012003504737</v>
      </c>
      <c r="E1176" s="44">
        <v>367.3722672886509</v>
      </c>
      <c r="F1176" s="44">
        <v>6028190.0204512654</v>
      </c>
      <c r="G1176" s="44" t="s">
        <v>998</v>
      </c>
      <c r="H1176" s="25">
        <f t="shared" si="38"/>
        <v>1.5264603742289884E-2</v>
      </c>
      <c r="J1176" s="44">
        <v>270</v>
      </c>
      <c r="K1176" s="44">
        <v>270.83999999999997</v>
      </c>
      <c r="L1176" s="44">
        <v>265</v>
      </c>
      <c r="M1176" s="44">
        <v>267.64999999999998</v>
      </c>
      <c r="N1176" s="44">
        <v>3024590</v>
      </c>
      <c r="O1176" s="44" t="s">
        <v>998</v>
      </c>
      <c r="P1176" s="25">
        <f t="shared" si="37"/>
        <v>8.7801232953483854E-3</v>
      </c>
    </row>
    <row r="1177" spans="2:16">
      <c r="B1177" s="44">
        <v>364.97300819580005</v>
      </c>
      <c r="C1177" s="44">
        <v>371.5690665272565</v>
      </c>
      <c r="D1177" s="44">
        <v>363.93523342944798</v>
      </c>
      <c r="E1177" s="44">
        <v>368.52429248799587</v>
      </c>
      <c r="F1177" s="44">
        <v>6779817.8064513505</v>
      </c>
      <c r="G1177" s="44" t="s">
        <v>999</v>
      </c>
      <c r="H1177" s="25">
        <f t="shared" si="38"/>
        <v>-9.6364998579069328E-3</v>
      </c>
      <c r="J1177" s="44">
        <v>263.8</v>
      </c>
      <c r="K1177" s="44">
        <v>277.81</v>
      </c>
      <c r="L1177" s="44">
        <v>262.52999999999997</v>
      </c>
      <c r="M1177" s="44">
        <v>272.33999999999997</v>
      </c>
      <c r="N1177" s="44">
        <v>2722220</v>
      </c>
      <c r="O1177" s="44" t="s">
        <v>999</v>
      </c>
      <c r="P1177" s="25">
        <f t="shared" si="37"/>
        <v>-3.1357861496658423E-2</v>
      </c>
    </row>
    <row r="1178" spans="2:16">
      <c r="B1178" s="44">
        <v>367.65789337113313</v>
      </c>
      <c r="C1178" s="44">
        <v>375.30305630354678</v>
      </c>
      <c r="D1178" s="44">
        <v>367.20089163916151</v>
      </c>
      <c r="E1178" s="44">
        <v>374.7604619555247</v>
      </c>
      <c r="F1178" s="44">
        <v>6168343.187319315</v>
      </c>
      <c r="G1178" s="44" t="s">
        <v>1000</v>
      </c>
      <c r="H1178" s="25">
        <f t="shared" si="38"/>
        <v>-1.8952289009704804E-2</v>
      </c>
      <c r="J1178" s="44">
        <v>273.69</v>
      </c>
      <c r="K1178" s="44">
        <v>281.75</v>
      </c>
      <c r="L1178" s="44">
        <v>273.45999999999998</v>
      </c>
      <c r="M1178" s="44">
        <v>278.25</v>
      </c>
      <c r="N1178" s="44">
        <v>1842068</v>
      </c>
      <c r="O1178" s="44" t="s">
        <v>1000</v>
      </c>
      <c r="P1178" s="25">
        <f t="shared" si="37"/>
        <v>-1.6388140161725073E-2</v>
      </c>
    </row>
    <row r="1179" spans="2:16">
      <c r="B1179" s="44">
        <v>372.40880720975429</v>
      </c>
      <c r="C1179" s="44">
        <v>373.2276019795367</v>
      </c>
      <c r="D1179" s="44">
        <v>368.01016553952786</v>
      </c>
      <c r="E1179" s="44">
        <v>369.82865159799809</v>
      </c>
      <c r="F1179" s="44">
        <v>6716600.8906743284</v>
      </c>
      <c r="G1179" s="44" t="s">
        <v>1001</v>
      </c>
      <c r="H1179" s="25">
        <f t="shared" si="38"/>
        <v>6.9766244465039318E-3</v>
      </c>
      <c r="J1179" s="44">
        <v>275.72000000000003</v>
      </c>
      <c r="K1179" s="44">
        <v>276.72000000000003</v>
      </c>
      <c r="L1179" s="44">
        <v>271</v>
      </c>
      <c r="M1179" s="44">
        <v>272.89</v>
      </c>
      <c r="N1179" s="44">
        <v>1331160</v>
      </c>
      <c r="O1179" s="44" t="s">
        <v>1001</v>
      </c>
      <c r="P1179" s="25">
        <f t="shared" si="37"/>
        <v>1.0370478947561379E-2</v>
      </c>
    </row>
    <row r="1180" spans="2:16">
      <c r="B1180" s="44">
        <v>374.07495935756731</v>
      </c>
      <c r="C1180" s="44">
        <v>375.93152889370185</v>
      </c>
      <c r="D1180" s="44">
        <v>370.09523594164818</v>
      </c>
      <c r="E1180" s="44">
        <v>372.15174373552026</v>
      </c>
      <c r="F1180" s="44">
        <v>6105112.6173270829</v>
      </c>
      <c r="G1180" s="44" t="s">
        <v>1002</v>
      </c>
      <c r="H1180" s="25">
        <f t="shared" si="38"/>
        <v>5.1678264428980381E-3</v>
      </c>
      <c r="J1180" s="44">
        <v>278.82</v>
      </c>
      <c r="K1180" s="44">
        <v>279.8</v>
      </c>
      <c r="L1180" s="44">
        <v>272.74</v>
      </c>
      <c r="M1180" s="44">
        <v>277.45</v>
      </c>
      <c r="N1180" s="44">
        <v>2080804</v>
      </c>
      <c r="O1180" s="44" t="s">
        <v>1002</v>
      </c>
      <c r="P1180" s="25">
        <f t="shared" si="37"/>
        <v>4.9378266354298539E-3</v>
      </c>
    </row>
    <row r="1181" spans="2:16">
      <c r="B1181" s="44">
        <v>364.36367255317134</v>
      </c>
      <c r="C1181" s="44">
        <v>373.92262544691016</v>
      </c>
      <c r="D1181" s="44">
        <v>363.35446039506741</v>
      </c>
      <c r="E1181" s="44">
        <v>367.27705859449014</v>
      </c>
      <c r="F1181" s="44">
        <v>9826912.429030614</v>
      </c>
      <c r="G1181" s="44" t="s">
        <v>1003</v>
      </c>
      <c r="H1181" s="25">
        <f t="shared" si="38"/>
        <v>-7.9323931978432238E-3</v>
      </c>
      <c r="J1181" s="44">
        <v>269.32</v>
      </c>
      <c r="K1181" s="44">
        <v>288.98</v>
      </c>
      <c r="L1181" s="44">
        <v>268.92</v>
      </c>
      <c r="M1181" s="44">
        <v>286.66000000000003</v>
      </c>
      <c r="N1181" s="44">
        <v>3452117</v>
      </c>
      <c r="O1181" s="44" t="s">
        <v>1003</v>
      </c>
      <c r="P1181" s="25">
        <f t="shared" si="37"/>
        <v>-6.0489778832065966E-2</v>
      </c>
    </row>
    <row r="1182" spans="2:16">
      <c r="B1182" s="44">
        <v>367.134245553249</v>
      </c>
      <c r="C1182" s="44">
        <v>377.97851581815786</v>
      </c>
      <c r="D1182" s="44">
        <v>367.08664120616862</v>
      </c>
      <c r="E1182" s="44">
        <v>377.72145234392389</v>
      </c>
      <c r="F1182" s="44">
        <v>8834784.5479305927</v>
      </c>
      <c r="G1182" s="44" t="s">
        <v>1004</v>
      </c>
      <c r="H1182" s="25">
        <f t="shared" si="38"/>
        <v>-2.8029138204824555E-2</v>
      </c>
      <c r="J1182" s="44">
        <v>292.69</v>
      </c>
      <c r="K1182" s="44">
        <v>304.68</v>
      </c>
      <c r="L1182" s="44">
        <v>291.61</v>
      </c>
      <c r="M1182" s="44">
        <v>300.5</v>
      </c>
      <c r="N1182" s="44">
        <v>2866213</v>
      </c>
      <c r="O1182" s="44" t="s">
        <v>1004</v>
      </c>
      <c r="P1182" s="25">
        <f t="shared" si="37"/>
        <v>-2.5990016638935076E-2</v>
      </c>
    </row>
    <row r="1183" spans="2:16">
      <c r="B1183" s="44">
        <v>378.3022253783044</v>
      </c>
      <c r="C1183" s="44">
        <v>379.33657263166674</v>
      </c>
      <c r="D1183" s="44">
        <v>374.5224402201228</v>
      </c>
      <c r="E1183" s="44">
        <v>377.91186973224535</v>
      </c>
      <c r="F1183" s="44">
        <v>6640651.9443754582</v>
      </c>
      <c r="G1183" s="44" t="s">
        <v>1005</v>
      </c>
      <c r="H1183" s="25">
        <f t="shared" si="38"/>
        <v>1.0329277202529852E-3</v>
      </c>
      <c r="J1183" s="44">
        <v>302.27999999999997</v>
      </c>
      <c r="K1183" s="44">
        <v>303</v>
      </c>
      <c r="L1183" s="44">
        <v>294.72000000000003</v>
      </c>
      <c r="M1183" s="44">
        <v>296.70999999999998</v>
      </c>
      <c r="N1183" s="44">
        <v>1995954</v>
      </c>
      <c r="O1183" s="44" t="s">
        <v>1005</v>
      </c>
      <c r="P1183" s="25">
        <f t="shared" si="37"/>
        <v>1.8772538842640962E-2</v>
      </c>
    </row>
    <row r="1184" spans="2:16">
      <c r="B1184" s="44">
        <v>381.38698706911254</v>
      </c>
      <c r="C1184" s="44">
        <v>386.1093382994855</v>
      </c>
      <c r="D1184" s="44">
        <v>379.76843926837989</v>
      </c>
      <c r="E1184" s="44">
        <v>385.61425308984963</v>
      </c>
      <c r="F1184" s="44">
        <v>9185367.0267076418</v>
      </c>
      <c r="G1184" s="44" t="s">
        <v>1006</v>
      </c>
      <c r="H1184" s="25">
        <f t="shared" si="38"/>
        <v>-1.0962421608809447E-2</v>
      </c>
      <c r="J1184" s="44">
        <v>299.82</v>
      </c>
      <c r="K1184" s="44">
        <v>304.2756</v>
      </c>
      <c r="L1184" s="44">
        <v>298.41000000000003</v>
      </c>
      <c r="M1184" s="44">
        <v>301.22000000000003</v>
      </c>
      <c r="N1184" s="44">
        <v>2098608</v>
      </c>
      <c r="O1184" s="44" t="s">
        <v>1006</v>
      </c>
      <c r="P1184" s="25">
        <f t="shared" si="37"/>
        <v>-4.64776575260617E-3</v>
      </c>
    </row>
    <row r="1185" spans="2:16">
      <c r="B1185" s="44">
        <v>383.31020269115959</v>
      </c>
      <c r="C1185" s="44">
        <v>384.73833310357077</v>
      </c>
      <c r="D1185" s="44">
        <v>377.76905669100421</v>
      </c>
      <c r="E1185" s="44">
        <v>378.66401841611525</v>
      </c>
      <c r="F1185" s="44">
        <v>8597080.4159761071</v>
      </c>
      <c r="G1185" s="44" t="s">
        <v>1007</v>
      </c>
      <c r="H1185" s="25">
        <f t="shared" si="38"/>
        <v>1.2269938650306678E-2</v>
      </c>
      <c r="J1185" s="44">
        <v>299.01</v>
      </c>
      <c r="K1185" s="44">
        <v>300.72000000000003</v>
      </c>
      <c r="L1185" s="44">
        <v>291.81</v>
      </c>
      <c r="M1185" s="44">
        <v>294.14999999999998</v>
      </c>
      <c r="N1185" s="44">
        <v>1748339</v>
      </c>
      <c r="O1185" s="44" t="s">
        <v>1007</v>
      </c>
      <c r="P1185" s="25">
        <f t="shared" si="37"/>
        <v>1.6522182559918441E-2</v>
      </c>
    </row>
    <row r="1186" spans="2:16">
      <c r="B1186" s="44">
        <v>376.39805149508948</v>
      </c>
      <c r="C1186" s="44">
        <v>382.66278357086657</v>
      </c>
      <c r="D1186" s="44">
        <v>373.97022979399054</v>
      </c>
      <c r="E1186" s="44">
        <v>380.84429751239628</v>
      </c>
      <c r="F1186" s="44">
        <v>9583591.1630032975</v>
      </c>
      <c r="G1186" s="44" t="s">
        <v>1008</v>
      </c>
      <c r="H1186" s="25">
        <f t="shared" si="38"/>
        <v>-1.1674708132296763E-2</v>
      </c>
      <c r="J1186" s="44">
        <v>291.55</v>
      </c>
      <c r="K1186" s="44">
        <v>293.79000000000002</v>
      </c>
      <c r="L1186" s="44">
        <v>287.01</v>
      </c>
      <c r="M1186" s="44">
        <v>289.95999999999998</v>
      </c>
      <c r="N1186" s="44">
        <v>1645661</v>
      </c>
      <c r="O1186" s="44" t="s">
        <v>1008</v>
      </c>
      <c r="P1186" s="25">
        <f t="shared" si="37"/>
        <v>5.4835149675818151E-3</v>
      </c>
    </row>
    <row r="1187" spans="2:16">
      <c r="B1187" s="44">
        <v>382.12961488356638</v>
      </c>
      <c r="C1187" s="44">
        <v>383.54822442656149</v>
      </c>
      <c r="D1187" s="44">
        <v>377.02642887655043</v>
      </c>
      <c r="E1187" s="44">
        <v>378.14989146764719</v>
      </c>
      <c r="F1187" s="44">
        <v>12452583.353347003</v>
      </c>
      <c r="G1187" s="44" t="s">
        <v>1009</v>
      </c>
      <c r="H1187" s="25">
        <f t="shared" si="38"/>
        <v>1.0524195578830886E-2</v>
      </c>
      <c r="J1187" s="44">
        <v>290.33</v>
      </c>
      <c r="K1187" s="44">
        <v>293.33</v>
      </c>
      <c r="L1187" s="44">
        <v>286.47000000000003</v>
      </c>
      <c r="M1187" s="44">
        <v>290.20999999999998</v>
      </c>
      <c r="N1187" s="44">
        <v>1644643</v>
      </c>
      <c r="O1187" s="44" t="s">
        <v>1009</v>
      </c>
      <c r="P1187" s="25">
        <f t="shared" si="37"/>
        <v>4.1349367699261563E-4</v>
      </c>
    </row>
    <row r="1188" spans="2:16">
      <c r="B1188" s="44">
        <v>383.09122269458987</v>
      </c>
      <c r="C1188" s="44">
        <v>383.23403573583096</v>
      </c>
      <c r="D1188" s="44">
        <v>374.54671843713385</v>
      </c>
      <c r="E1188" s="44">
        <v>376.02673758786261</v>
      </c>
      <c r="F1188" s="44">
        <v>12252270.764584882</v>
      </c>
      <c r="G1188" s="44" t="s">
        <v>1010</v>
      </c>
      <c r="H1188" s="25">
        <f t="shared" si="38"/>
        <v>1.8787188251677467E-2</v>
      </c>
      <c r="J1188" s="44">
        <v>293.51</v>
      </c>
      <c r="K1188" s="44">
        <v>293.62</v>
      </c>
      <c r="L1188" s="44">
        <v>284.64999999999998</v>
      </c>
      <c r="M1188" s="44">
        <v>289.08</v>
      </c>
      <c r="N1188" s="44">
        <v>1454887</v>
      </c>
      <c r="O1188" s="44" t="s">
        <v>1010</v>
      </c>
      <c r="P1188" s="25">
        <f t="shared" si="37"/>
        <v>1.532447765324485E-2</v>
      </c>
    </row>
    <row r="1189" spans="2:16">
      <c r="B1189" s="44">
        <v>374.90327499676579</v>
      </c>
      <c r="C1189" s="44">
        <v>375.28410977340877</v>
      </c>
      <c r="D1189" s="44">
        <v>359.4128204568126</v>
      </c>
      <c r="E1189" s="44">
        <v>359.66036306163051</v>
      </c>
      <c r="F1189" s="44">
        <v>22347980.074253228</v>
      </c>
      <c r="G1189" s="44" t="s">
        <v>1011</v>
      </c>
      <c r="H1189" s="25">
        <f t="shared" si="38"/>
        <v>4.2381406183820358E-2</v>
      </c>
      <c r="J1189" s="44">
        <v>288.38</v>
      </c>
      <c r="K1189" s="44">
        <v>289.29000000000002</v>
      </c>
      <c r="L1189" s="44">
        <v>266.02</v>
      </c>
      <c r="M1189" s="44">
        <v>266.22000000000003</v>
      </c>
      <c r="N1189" s="44">
        <v>2733731</v>
      </c>
      <c r="O1189" s="44" t="s">
        <v>1011</v>
      </c>
      <c r="P1189" s="25">
        <f t="shared" si="37"/>
        <v>8.323942603861445E-2</v>
      </c>
    </row>
    <row r="1190" spans="2:16">
      <c r="B1190" s="44">
        <v>369.22883682478539</v>
      </c>
      <c r="C1190" s="44">
        <v>379.2352705810797</v>
      </c>
      <c r="D1190" s="44">
        <v>368.81943943989421</v>
      </c>
      <c r="E1190" s="44">
        <v>378.68306015494738</v>
      </c>
      <c r="F1190" s="44">
        <v>12766539.975307737</v>
      </c>
      <c r="G1190" s="44" t="s">
        <v>1012</v>
      </c>
      <c r="H1190" s="25">
        <f t="shared" si="38"/>
        <v>-2.4966058228993893E-2</v>
      </c>
      <c r="J1190" s="44">
        <v>276.5</v>
      </c>
      <c r="K1190" s="44">
        <v>286.45</v>
      </c>
      <c r="L1190" s="44">
        <v>275.56</v>
      </c>
      <c r="M1190" s="44">
        <v>284.95</v>
      </c>
      <c r="N1190" s="44">
        <v>1706036</v>
      </c>
      <c r="O1190" s="44" t="s">
        <v>1012</v>
      </c>
      <c r="P1190" s="25">
        <f t="shared" si="37"/>
        <v>-2.96543253202316E-2</v>
      </c>
    </row>
    <row r="1191" spans="2:16">
      <c r="B1191" s="44">
        <v>375.99817497961436</v>
      </c>
      <c r="C1191" s="44">
        <v>381.18704881137501</v>
      </c>
      <c r="D1191" s="44">
        <v>372.74679807402492</v>
      </c>
      <c r="E1191" s="44">
        <v>378.02612016523824</v>
      </c>
      <c r="F1191" s="44">
        <v>10938849.746658998</v>
      </c>
      <c r="G1191" s="44" t="s">
        <v>1013</v>
      </c>
      <c r="H1191" s="25">
        <f t="shared" si="38"/>
        <v>-5.3645636569701338E-3</v>
      </c>
      <c r="J1191" s="44">
        <v>284</v>
      </c>
      <c r="K1191" s="44">
        <v>287.31560000000002</v>
      </c>
      <c r="L1191" s="44">
        <v>277.34500000000003</v>
      </c>
      <c r="M1191" s="44">
        <v>278.12</v>
      </c>
      <c r="N1191" s="44">
        <v>2116945</v>
      </c>
      <c r="O1191" s="44" t="s">
        <v>1013</v>
      </c>
      <c r="P1191" s="25">
        <f t="shared" si="37"/>
        <v>2.1141953113763767E-2</v>
      </c>
    </row>
    <row r="1192" spans="2:16">
      <c r="B1192" s="44">
        <v>380.15879491443894</v>
      </c>
      <c r="C1192" s="44">
        <v>383.98618441970086</v>
      </c>
      <c r="D1192" s="44">
        <v>377.97851581815786</v>
      </c>
      <c r="E1192" s="44">
        <v>382.88176356743622</v>
      </c>
      <c r="F1192" s="44">
        <v>11102801.16031504</v>
      </c>
      <c r="G1192" s="44" t="s">
        <v>1014</v>
      </c>
      <c r="H1192" s="25">
        <f t="shared" si="38"/>
        <v>-7.1117742136017625E-3</v>
      </c>
      <c r="J1192" s="44">
        <v>280.77999999999997</v>
      </c>
      <c r="K1192" s="44">
        <v>286.60000000000002</v>
      </c>
      <c r="L1192" s="44">
        <v>280.23500000000001</v>
      </c>
      <c r="M1192" s="44">
        <v>283.37</v>
      </c>
      <c r="N1192" s="44">
        <v>1423628</v>
      </c>
      <c r="O1192" s="44" t="s">
        <v>1014</v>
      </c>
      <c r="P1192" s="25">
        <f t="shared" si="37"/>
        <v>-9.139993647880984E-3</v>
      </c>
    </row>
    <row r="1193" spans="2:16">
      <c r="B1193" s="44">
        <v>382.60565835437012</v>
      </c>
      <c r="C1193" s="44">
        <v>388.43243043700767</v>
      </c>
      <c r="D1193" s="44">
        <v>382.00584358115742</v>
      </c>
      <c r="E1193" s="44">
        <v>387.96590783562004</v>
      </c>
      <c r="F1193" s="44">
        <v>7920485.693531529</v>
      </c>
      <c r="G1193" s="44" t="s">
        <v>1015</v>
      </c>
      <c r="H1193" s="25">
        <f t="shared" si="38"/>
        <v>-1.3816289970305928E-2</v>
      </c>
      <c r="J1193" s="44">
        <v>284.08</v>
      </c>
      <c r="K1193" s="44">
        <v>290</v>
      </c>
      <c r="L1193" s="44">
        <v>283.5</v>
      </c>
      <c r="M1193" s="44">
        <v>289.47000000000003</v>
      </c>
      <c r="N1193" s="44">
        <v>1573497</v>
      </c>
      <c r="O1193" s="44" t="s">
        <v>1015</v>
      </c>
      <c r="P1193" s="25">
        <f t="shared" si="37"/>
        <v>-1.8620236984834504E-2</v>
      </c>
    </row>
    <row r="1194" spans="2:16">
      <c r="B1194" s="44">
        <v>390.9173773546031</v>
      </c>
      <c r="C1194" s="44">
        <v>392.15509037869282</v>
      </c>
      <c r="D1194" s="44">
        <v>386.85196611393928</v>
      </c>
      <c r="E1194" s="44">
        <v>388.64188956416132</v>
      </c>
      <c r="F1194" s="44">
        <v>8133463.0920636933</v>
      </c>
      <c r="G1194" s="44" t="s">
        <v>1016</v>
      </c>
      <c r="H1194" s="25">
        <f t="shared" si="38"/>
        <v>5.8549730524253274E-3</v>
      </c>
      <c r="J1194" s="44">
        <v>291.14</v>
      </c>
      <c r="K1194" s="44">
        <v>292.36</v>
      </c>
      <c r="L1194" s="44">
        <v>282.72000000000003</v>
      </c>
      <c r="M1194" s="44">
        <v>289</v>
      </c>
      <c r="N1194" s="44">
        <v>1797240</v>
      </c>
      <c r="O1194" s="44" t="s">
        <v>1016</v>
      </c>
      <c r="P1194" s="25">
        <f t="shared" si="37"/>
        <v>7.4048442906573531E-3</v>
      </c>
    </row>
    <row r="1195" spans="2:16">
      <c r="B1195" s="44">
        <v>390.45085475321548</v>
      </c>
      <c r="C1195" s="44">
        <v>390.63175127212088</v>
      </c>
      <c r="D1195" s="44">
        <v>387.93734522737179</v>
      </c>
      <c r="E1195" s="44">
        <v>388.62284782532919</v>
      </c>
      <c r="F1195" s="44">
        <v>7165620.808202262</v>
      </c>
      <c r="G1195" s="44" t="s">
        <v>1017</v>
      </c>
      <c r="H1195" s="25">
        <f t="shared" si="38"/>
        <v>4.7038071439071683E-3</v>
      </c>
      <c r="J1195" s="44">
        <v>289.31</v>
      </c>
      <c r="K1195" s="44">
        <v>290.61200000000002</v>
      </c>
      <c r="L1195" s="44">
        <v>284.8</v>
      </c>
      <c r="M1195" s="44">
        <v>285</v>
      </c>
      <c r="N1195" s="44">
        <v>1413799</v>
      </c>
      <c r="O1195" s="44" t="s">
        <v>1017</v>
      </c>
      <c r="P1195" s="25">
        <f t="shared" si="37"/>
        <v>1.512280701754376E-2</v>
      </c>
    </row>
    <row r="1196" spans="2:16">
      <c r="B1196" s="44">
        <v>384.28133137159921</v>
      </c>
      <c r="C1196" s="44">
        <v>386.53777742320887</v>
      </c>
      <c r="D1196" s="44">
        <v>381.063277508966</v>
      </c>
      <c r="E1196" s="44">
        <v>385.05252179430124</v>
      </c>
      <c r="F1196" s="44">
        <v>10679260.008370262</v>
      </c>
      <c r="G1196" s="44" t="s">
        <v>1018</v>
      </c>
      <c r="H1196" s="25">
        <f t="shared" si="38"/>
        <v>-2.0028187819894905E-3</v>
      </c>
      <c r="J1196" s="44">
        <v>281.14</v>
      </c>
      <c r="K1196" s="44">
        <v>286.17</v>
      </c>
      <c r="L1196" s="44">
        <v>279.02999999999997</v>
      </c>
      <c r="M1196" s="44">
        <v>283.24</v>
      </c>
      <c r="N1196" s="44">
        <v>1563267</v>
      </c>
      <c r="O1196" s="44" t="s">
        <v>1018</v>
      </c>
      <c r="P1196" s="25">
        <f t="shared" ref="P1196:P1259" si="39">J1196/M1196-1</f>
        <v>-7.4142070329050735E-3</v>
      </c>
    </row>
    <row r="1197" spans="2:16">
      <c r="B1197" s="44">
        <v>385.53808613452105</v>
      </c>
      <c r="C1197" s="44">
        <v>395.30649815541346</v>
      </c>
      <c r="D1197" s="44">
        <v>384.23372702451883</v>
      </c>
      <c r="E1197" s="44">
        <v>393.35471992511816</v>
      </c>
      <c r="F1197" s="44">
        <v>10984906.464888917</v>
      </c>
      <c r="G1197" s="44" t="s">
        <v>1019</v>
      </c>
      <c r="H1197" s="25">
        <f t="shared" si="38"/>
        <v>-1.9871717293960867E-2</v>
      </c>
      <c r="J1197" s="44">
        <v>283.16000000000003</v>
      </c>
      <c r="K1197" s="44">
        <v>294.48</v>
      </c>
      <c r="L1197" s="44">
        <v>282.2</v>
      </c>
      <c r="M1197" s="44">
        <v>291.52999999999997</v>
      </c>
      <c r="N1197" s="44">
        <v>2267399</v>
      </c>
      <c r="O1197" s="44" t="s">
        <v>1019</v>
      </c>
      <c r="P1197" s="25">
        <f t="shared" si="39"/>
        <v>-2.8710595822042162E-2</v>
      </c>
    </row>
    <row r="1198" spans="2:16">
      <c r="B1198" s="44">
        <v>393.38328253336641</v>
      </c>
      <c r="C1198" s="44">
        <v>400.63818502841519</v>
      </c>
      <c r="D1198" s="44">
        <v>391.44102517248723</v>
      </c>
      <c r="E1198" s="44">
        <v>395.04943468117949</v>
      </c>
      <c r="F1198" s="44">
        <v>9726487.7768044509</v>
      </c>
      <c r="G1198" s="44" t="s">
        <v>1020</v>
      </c>
      <c r="H1198" s="25">
        <f t="shared" si="38"/>
        <v>-4.2175788687249804E-3</v>
      </c>
      <c r="J1198" s="44">
        <v>292.49</v>
      </c>
      <c r="K1198" s="44">
        <v>294.98</v>
      </c>
      <c r="L1198" s="44">
        <v>286.74</v>
      </c>
      <c r="M1198" s="44">
        <v>287.69</v>
      </c>
      <c r="N1198" s="44">
        <v>2882855</v>
      </c>
      <c r="O1198" s="44" t="s">
        <v>1020</v>
      </c>
      <c r="P1198" s="25">
        <f t="shared" si="39"/>
        <v>1.6684625812506626E-2</v>
      </c>
    </row>
    <row r="1199" spans="2:16">
      <c r="B1199" s="44">
        <v>400.41920503184548</v>
      </c>
      <c r="C1199" s="44">
        <v>400.7048311143277</v>
      </c>
      <c r="D1199" s="44">
        <v>398.30081158676893</v>
      </c>
      <c r="E1199" s="44">
        <v>398.49598940979843</v>
      </c>
      <c r="F1199" s="44">
        <v>6600719.6668296587</v>
      </c>
      <c r="G1199" s="44" t="s">
        <v>1021</v>
      </c>
      <c r="H1199" s="25">
        <f t="shared" si="38"/>
        <v>4.8261856409030912E-3</v>
      </c>
      <c r="J1199" s="44">
        <v>292.18</v>
      </c>
      <c r="K1199" s="44">
        <v>292.94</v>
      </c>
      <c r="L1199" s="44">
        <v>287.11</v>
      </c>
      <c r="M1199" s="44">
        <v>287.11</v>
      </c>
      <c r="N1199" s="44">
        <v>2141932</v>
      </c>
      <c r="O1199" s="44" t="s">
        <v>1021</v>
      </c>
      <c r="P1199" s="25">
        <f t="shared" si="39"/>
        <v>1.7658737069415897E-2</v>
      </c>
    </row>
    <row r="1200" spans="2:16">
      <c r="B1200" s="44">
        <v>394.63051642687219</v>
      </c>
      <c r="C1200" s="44">
        <v>395.55404076023137</v>
      </c>
      <c r="D1200" s="44">
        <v>389.73678954700989</v>
      </c>
      <c r="E1200" s="44">
        <v>391.04114865701212</v>
      </c>
      <c r="F1200" s="44">
        <v>5845773.9065333754</v>
      </c>
      <c r="G1200" s="44" t="s">
        <v>1022</v>
      </c>
      <c r="H1200" s="25">
        <f t="shared" si="38"/>
        <v>9.179002726918517E-3</v>
      </c>
      <c r="J1200" s="44">
        <v>283.39</v>
      </c>
      <c r="K1200" s="44">
        <v>285.3526</v>
      </c>
      <c r="L1200" s="44">
        <v>277.81</v>
      </c>
      <c r="M1200" s="44">
        <v>283.64999999999998</v>
      </c>
      <c r="N1200" s="44">
        <v>2047966</v>
      </c>
      <c r="O1200" s="44" t="s">
        <v>1022</v>
      </c>
      <c r="P1200" s="25">
        <f t="shared" si="39"/>
        <v>-9.1662259827252068E-4</v>
      </c>
    </row>
    <row r="1201" spans="2:16">
      <c r="B1201" s="44">
        <v>391.46006691131942</v>
      </c>
      <c r="C1201" s="44">
        <v>394.75428772928115</v>
      </c>
      <c r="D1201" s="44">
        <v>390.26043736489396</v>
      </c>
      <c r="E1201" s="44">
        <v>393.43088688044679</v>
      </c>
      <c r="F1201" s="44">
        <v>5903780.1637211461</v>
      </c>
      <c r="G1201" s="44" t="s">
        <v>1023</v>
      </c>
      <c r="H1201" s="25">
        <f t="shared" si="38"/>
        <v>-5.0093168453402281E-3</v>
      </c>
      <c r="J1201" s="44">
        <v>284.89</v>
      </c>
      <c r="K1201" s="44">
        <v>290.89999999999998</v>
      </c>
      <c r="L1201" s="44">
        <v>283.56</v>
      </c>
      <c r="M1201" s="44">
        <v>284.41000000000003</v>
      </c>
      <c r="N1201" s="44">
        <v>1721456</v>
      </c>
      <c r="O1201" s="44" t="s">
        <v>1023</v>
      </c>
      <c r="P1201" s="25">
        <f t="shared" si="39"/>
        <v>1.6877043704510708E-3</v>
      </c>
    </row>
    <row r="1202" spans="2:16">
      <c r="B1202" s="44">
        <v>392.75490515190546</v>
      </c>
      <c r="C1202" s="44">
        <v>396.29666857468521</v>
      </c>
      <c r="D1202" s="44">
        <v>388.5085973923363</v>
      </c>
      <c r="E1202" s="44">
        <v>390.67935561920126</v>
      </c>
      <c r="F1202" s="44">
        <v>8623187.2754589543</v>
      </c>
      <c r="G1202" s="44" t="s">
        <v>1024</v>
      </c>
      <c r="H1202" s="25">
        <f t="shared" si="38"/>
        <v>5.3126675439878479E-3</v>
      </c>
      <c r="J1202" s="44">
        <v>285.73</v>
      </c>
      <c r="K1202" s="44">
        <v>288.29000000000002</v>
      </c>
      <c r="L1202" s="44">
        <v>280.45999999999998</v>
      </c>
      <c r="M1202" s="44">
        <v>282.85000000000002</v>
      </c>
      <c r="N1202" s="44">
        <v>1634052</v>
      </c>
      <c r="O1202" s="44" t="s">
        <v>1024</v>
      </c>
      <c r="P1202" s="25">
        <f t="shared" si="39"/>
        <v>1.0182075304931981E-2</v>
      </c>
    </row>
    <row r="1203" spans="2:16">
      <c r="B1203" s="44">
        <v>390.9173773546031</v>
      </c>
      <c r="C1203" s="44">
        <v>396.47756509359061</v>
      </c>
      <c r="D1203" s="44">
        <v>390.15570780131719</v>
      </c>
      <c r="E1203" s="44">
        <v>394.72572512103289</v>
      </c>
      <c r="F1203" s="44">
        <v>8043667.7212169319</v>
      </c>
      <c r="G1203" s="44" t="s">
        <v>1025</v>
      </c>
      <c r="H1203" s="25">
        <f t="shared" si="38"/>
        <v>-9.6480860609275965E-3</v>
      </c>
      <c r="J1203" s="44">
        <v>285.60000000000002</v>
      </c>
      <c r="K1203" s="44">
        <v>291.95999999999998</v>
      </c>
      <c r="L1203" s="44">
        <v>284.91000000000003</v>
      </c>
      <c r="M1203" s="44">
        <v>286.83999999999997</v>
      </c>
      <c r="N1203" s="44">
        <v>1920153</v>
      </c>
      <c r="O1203" s="44" t="s">
        <v>1025</v>
      </c>
      <c r="P1203" s="25">
        <f t="shared" si="39"/>
        <v>-4.322967508018194E-3</v>
      </c>
    </row>
    <row r="1204" spans="2:16">
      <c r="B1204" s="44">
        <v>400.21926677410795</v>
      </c>
      <c r="C1204" s="44">
        <v>400.99997806622605</v>
      </c>
      <c r="D1204" s="44">
        <v>396.58229465716749</v>
      </c>
      <c r="E1204" s="44">
        <v>398.90538679468966</v>
      </c>
      <c r="F1204" s="44">
        <v>7064980.8395054685</v>
      </c>
      <c r="G1204" s="44" t="s">
        <v>1026</v>
      </c>
      <c r="H1204" s="25">
        <f t="shared" si="38"/>
        <v>3.2937133037376221E-3</v>
      </c>
      <c r="J1204" s="44">
        <v>292.94</v>
      </c>
      <c r="K1204" s="44">
        <v>295.26</v>
      </c>
      <c r="L1204" s="44">
        <v>289.065</v>
      </c>
      <c r="M1204" s="44">
        <v>292.08</v>
      </c>
      <c r="N1204" s="44">
        <v>2328934</v>
      </c>
      <c r="O1204" s="44" t="s">
        <v>1026</v>
      </c>
      <c r="P1204" s="25">
        <f t="shared" si="39"/>
        <v>2.9443987948507555E-3</v>
      </c>
    </row>
    <row r="1205" spans="2:16">
      <c r="B1205" s="44">
        <v>396.4394816159263</v>
      </c>
      <c r="C1205" s="44">
        <v>397.05833812797118</v>
      </c>
      <c r="D1205" s="44">
        <v>391.21252430650139</v>
      </c>
      <c r="E1205" s="44">
        <v>394.48770338563105</v>
      </c>
      <c r="F1205" s="44">
        <v>8565279.7487503998</v>
      </c>
      <c r="G1205" s="44" t="s">
        <v>1027</v>
      </c>
      <c r="H1205" s="25">
        <f t="shared" si="38"/>
        <v>4.9476275522517543E-3</v>
      </c>
      <c r="J1205" s="44">
        <v>286.51</v>
      </c>
      <c r="K1205" s="44">
        <v>289.7</v>
      </c>
      <c r="L1205" s="44">
        <v>281.61009999999999</v>
      </c>
      <c r="M1205" s="44">
        <v>285.18</v>
      </c>
      <c r="N1205" s="44">
        <v>2098738</v>
      </c>
      <c r="O1205" s="44" t="s">
        <v>1027</v>
      </c>
      <c r="P1205" s="25">
        <f t="shared" si="39"/>
        <v>4.6637211585665028E-3</v>
      </c>
    </row>
    <row r="1206" spans="2:16">
      <c r="B1206" s="44">
        <v>393.86884687358622</v>
      </c>
      <c r="C1206" s="44">
        <v>394.13543121723632</v>
      </c>
      <c r="D1206" s="44">
        <v>384.97635483897267</v>
      </c>
      <c r="E1206" s="44">
        <v>386.23310960189445</v>
      </c>
      <c r="F1206" s="44">
        <v>9663439.963231191</v>
      </c>
      <c r="G1206" s="44" t="s">
        <v>1028</v>
      </c>
      <c r="H1206" s="25">
        <f t="shared" si="38"/>
        <v>1.9769763600956392E-2</v>
      </c>
      <c r="J1206" s="44">
        <v>284.18</v>
      </c>
      <c r="K1206" s="44">
        <v>285.23</v>
      </c>
      <c r="L1206" s="44">
        <v>273.81</v>
      </c>
      <c r="M1206" s="44">
        <v>276.23</v>
      </c>
      <c r="N1206" s="44">
        <v>2993400</v>
      </c>
      <c r="O1206" s="44" t="s">
        <v>1028</v>
      </c>
      <c r="P1206" s="25">
        <f t="shared" si="39"/>
        <v>2.8780364189262553E-2</v>
      </c>
    </row>
    <row r="1207" spans="2:16">
      <c r="B1207" s="44">
        <v>386.79484089744284</v>
      </c>
      <c r="C1207" s="44">
        <v>386.86148698335535</v>
      </c>
      <c r="D1207" s="44">
        <v>374.45579413421029</v>
      </c>
      <c r="E1207" s="44">
        <v>378.75922711027596</v>
      </c>
      <c r="F1207" s="44">
        <v>12705569.703094998</v>
      </c>
      <c r="G1207" s="44" t="s">
        <v>1029</v>
      </c>
      <c r="H1207" s="25">
        <f t="shared" si="38"/>
        <v>2.1215625157106288E-2</v>
      </c>
      <c r="J1207" s="44">
        <v>271.79000000000002</v>
      </c>
      <c r="K1207" s="44">
        <v>272.04000000000002</v>
      </c>
      <c r="L1207" s="44">
        <v>258.12</v>
      </c>
      <c r="M1207" s="44">
        <v>264.42</v>
      </c>
      <c r="N1207" s="44">
        <v>2712774</v>
      </c>
      <c r="O1207" s="44" t="s">
        <v>1029</v>
      </c>
      <c r="P1207" s="25">
        <f t="shared" si="39"/>
        <v>2.7872324332501419E-2</v>
      </c>
    </row>
    <row r="1208" spans="2:16">
      <c r="B1208" s="44">
        <v>377.54055582501849</v>
      </c>
      <c r="C1208" s="44">
        <v>386.51873568437674</v>
      </c>
      <c r="D1208" s="44">
        <v>375.9029662854536</v>
      </c>
      <c r="E1208" s="44">
        <v>383.62439138189006</v>
      </c>
      <c r="F1208" s="44">
        <v>13082025.869372066</v>
      </c>
      <c r="G1208" s="44" t="s">
        <v>1030</v>
      </c>
      <c r="H1208" s="25">
        <f t="shared" si="38"/>
        <v>-1.5858834040652137E-2</v>
      </c>
      <c r="J1208" s="44">
        <v>262.77</v>
      </c>
      <c r="K1208" s="44">
        <v>270.83</v>
      </c>
      <c r="L1208" s="44">
        <v>261.02</v>
      </c>
      <c r="M1208" s="44">
        <v>267.58999999999997</v>
      </c>
      <c r="N1208" s="44">
        <v>2585585</v>
      </c>
      <c r="O1208" s="44" t="s">
        <v>1030</v>
      </c>
      <c r="P1208" s="25">
        <f t="shared" si="39"/>
        <v>-1.8012631264247569E-2</v>
      </c>
    </row>
    <row r="1209" spans="2:16">
      <c r="B1209" s="44">
        <v>379.46377144706548</v>
      </c>
      <c r="C1209" s="44">
        <v>388.63750996422993</v>
      </c>
      <c r="D1209" s="44">
        <v>375.44596455348204</v>
      </c>
      <c r="E1209" s="44">
        <v>386.22358873247839</v>
      </c>
      <c r="F1209" s="44">
        <v>15100875.110970527</v>
      </c>
      <c r="G1209" s="44" t="s">
        <v>1031</v>
      </c>
      <c r="H1209" s="25">
        <f t="shared" si="38"/>
        <v>-1.7502341862643656E-2</v>
      </c>
      <c r="J1209" s="44">
        <v>264.45999999999998</v>
      </c>
      <c r="K1209" s="44">
        <v>275.01</v>
      </c>
      <c r="L1209" s="44">
        <v>261.19499999999999</v>
      </c>
      <c r="M1209" s="44">
        <v>269</v>
      </c>
      <c r="N1209" s="44">
        <v>3512670</v>
      </c>
      <c r="O1209" s="44" t="s">
        <v>1031</v>
      </c>
      <c r="P1209" s="25">
        <f t="shared" si="39"/>
        <v>-1.6877323420074419E-2</v>
      </c>
    </row>
    <row r="1210" spans="2:16">
      <c r="B1210" s="44">
        <v>380.32064969451216</v>
      </c>
      <c r="C1210" s="44">
        <v>384.89066701422797</v>
      </c>
      <c r="D1210" s="44">
        <v>373.91548479484811</v>
      </c>
      <c r="E1210" s="44">
        <v>379.09245753983862</v>
      </c>
      <c r="F1210" s="44">
        <v>17683601.427800789</v>
      </c>
      <c r="G1210" s="44" t="s">
        <v>1032</v>
      </c>
      <c r="H1210" s="25">
        <f t="shared" si="38"/>
        <v>3.2398221865030941E-3</v>
      </c>
      <c r="J1210" s="44">
        <v>264.14</v>
      </c>
      <c r="K1210" s="44">
        <v>268.39999999999998</v>
      </c>
      <c r="L1210" s="44">
        <v>260.3</v>
      </c>
      <c r="M1210" s="44">
        <v>261.64</v>
      </c>
      <c r="N1210" s="44">
        <v>2768237</v>
      </c>
      <c r="O1210" s="44" t="s">
        <v>1032</v>
      </c>
      <c r="P1210" s="25">
        <f t="shared" si="39"/>
        <v>9.5551138969576233E-3</v>
      </c>
    </row>
    <row r="1211" spans="2:16">
      <c r="B1211" s="44">
        <v>384.9953965778048</v>
      </c>
      <c r="C1211" s="44">
        <v>385.48096091802455</v>
      </c>
      <c r="D1211" s="44">
        <v>368.30531249142615</v>
      </c>
      <c r="E1211" s="44">
        <v>378.22605842297583</v>
      </c>
      <c r="F1211" s="44">
        <v>24155184.778788935</v>
      </c>
      <c r="G1211" s="44" t="s">
        <v>1033</v>
      </c>
      <c r="H1211" s="25">
        <f t="shared" si="38"/>
        <v>1.7897598550068006E-2</v>
      </c>
      <c r="J1211" s="44">
        <v>271.98</v>
      </c>
      <c r="K1211" s="44">
        <v>272.77999999999997</v>
      </c>
      <c r="L1211" s="44">
        <v>254.2</v>
      </c>
      <c r="M1211" s="44">
        <v>264.62</v>
      </c>
      <c r="N1211" s="44">
        <v>4707679</v>
      </c>
      <c r="O1211" s="44" t="s">
        <v>1033</v>
      </c>
      <c r="P1211" s="25">
        <f t="shared" si="39"/>
        <v>2.7813468369737748E-2</v>
      </c>
    </row>
    <row r="1212" spans="2:16">
      <c r="B1212" s="44">
        <v>383.39589051590428</v>
      </c>
      <c r="C1212" s="44">
        <v>392.18984155206147</v>
      </c>
      <c r="D1212" s="44">
        <v>383.36732790765609</v>
      </c>
      <c r="E1212" s="44">
        <v>390.07954084598856</v>
      </c>
      <c r="F1212" s="44">
        <v>17042485.60809483</v>
      </c>
      <c r="G1212" s="44" t="s">
        <v>1034</v>
      </c>
      <c r="H1212" s="25">
        <f t="shared" si="38"/>
        <v>-1.7134070440067317E-2</v>
      </c>
      <c r="J1212" s="44">
        <v>269.52999999999997</v>
      </c>
      <c r="K1212" s="44">
        <v>281.58</v>
      </c>
      <c r="L1212" s="44">
        <v>267.3</v>
      </c>
      <c r="M1212" s="44">
        <v>275.04000000000002</v>
      </c>
      <c r="N1212" s="44">
        <v>5584178</v>
      </c>
      <c r="O1212" s="44" t="s">
        <v>1034</v>
      </c>
      <c r="P1212" s="25">
        <f t="shared" si="39"/>
        <v>-2.0033449680046722E-2</v>
      </c>
    </row>
    <row r="1213" spans="2:16">
      <c r="B1213" s="44">
        <v>391.07923213467637</v>
      </c>
      <c r="C1213" s="44">
        <v>401.54266762294225</v>
      </c>
      <c r="D1213" s="44">
        <v>390.63175127212088</v>
      </c>
      <c r="E1213" s="44">
        <v>397.18210943038014</v>
      </c>
      <c r="F1213" s="44">
        <v>9355871.4133405704</v>
      </c>
      <c r="G1213" s="44" t="s">
        <v>1035</v>
      </c>
      <c r="H1213" s="25">
        <f t="shared" si="38"/>
        <v>-1.5365438550231314E-2</v>
      </c>
      <c r="J1213" s="44">
        <v>292.73</v>
      </c>
      <c r="K1213" s="44">
        <v>304.43</v>
      </c>
      <c r="L1213" s="44">
        <v>291.82</v>
      </c>
      <c r="M1213" s="44">
        <v>296</v>
      </c>
      <c r="N1213" s="44">
        <v>2772287</v>
      </c>
      <c r="O1213" s="44" t="s">
        <v>1035</v>
      </c>
      <c r="P1213" s="25">
        <f t="shared" si="39"/>
        <v>-1.1047297297297254E-2</v>
      </c>
    </row>
    <row r="1214" spans="2:16">
      <c r="B1214" s="44">
        <v>395.43026945782242</v>
      </c>
      <c r="C1214" s="44">
        <v>402.29005587210412</v>
      </c>
      <c r="D1214" s="44">
        <v>395.18272685300451</v>
      </c>
      <c r="E1214" s="44">
        <v>400.99045719680998</v>
      </c>
      <c r="F1214" s="44">
        <v>8595964.9716258179</v>
      </c>
      <c r="G1214" s="44" t="s">
        <v>1036</v>
      </c>
      <c r="H1214" s="25">
        <f t="shared" si="38"/>
        <v>-1.3866134814920494E-2</v>
      </c>
      <c r="J1214" s="44">
        <v>293.45999999999998</v>
      </c>
      <c r="K1214" s="44">
        <v>299.625</v>
      </c>
      <c r="L1214" s="44">
        <v>293</v>
      </c>
      <c r="M1214" s="44">
        <v>296.065</v>
      </c>
      <c r="N1214" s="44">
        <v>1917851</v>
      </c>
      <c r="O1214" s="44" t="s">
        <v>1036</v>
      </c>
      <c r="P1214" s="25">
        <f t="shared" si="39"/>
        <v>-8.7987435191596575E-3</v>
      </c>
    </row>
    <row r="1215" spans="2:16">
      <c r="B1215" s="44">
        <v>399.62897287031132</v>
      </c>
      <c r="C1215" s="44">
        <v>404.61790844433438</v>
      </c>
      <c r="D1215" s="44">
        <v>397.33444334103734</v>
      </c>
      <c r="E1215" s="44">
        <v>402.37098326214078</v>
      </c>
      <c r="F1215" s="44">
        <v>11236348.837993855</v>
      </c>
      <c r="G1215" s="44" t="s">
        <v>1037</v>
      </c>
      <c r="H1215" s="25">
        <f t="shared" si="38"/>
        <v>-6.8146325304055955E-3</v>
      </c>
      <c r="J1215" s="44">
        <v>295.49</v>
      </c>
      <c r="K1215" s="44">
        <v>301.48</v>
      </c>
      <c r="L1215" s="44">
        <v>294.67</v>
      </c>
      <c r="M1215" s="44">
        <v>301.37</v>
      </c>
      <c r="N1215" s="44">
        <v>2314658</v>
      </c>
      <c r="O1215" s="44" t="s">
        <v>1037</v>
      </c>
      <c r="P1215" s="25">
        <f t="shared" si="39"/>
        <v>-1.9510900222318051E-2</v>
      </c>
    </row>
    <row r="1216" spans="2:16">
      <c r="B1216" s="44">
        <v>406.76010406295114</v>
      </c>
      <c r="C1216" s="44">
        <v>407.09323928381957</v>
      </c>
      <c r="D1216" s="44">
        <v>402.55187978104618</v>
      </c>
      <c r="E1216" s="44">
        <v>403.6324984597706</v>
      </c>
      <c r="F1216" s="44">
        <v>10462084.463822933</v>
      </c>
      <c r="G1216" s="44" t="s">
        <v>1038</v>
      </c>
      <c r="H1216" s="25">
        <f t="shared" si="38"/>
        <v>7.7486466404841359E-3</v>
      </c>
      <c r="J1216" s="44">
        <v>307.74</v>
      </c>
      <c r="K1216" s="44">
        <v>311.505</v>
      </c>
      <c r="L1216" s="44">
        <v>303.89</v>
      </c>
      <c r="M1216" s="44">
        <v>310.39</v>
      </c>
      <c r="N1216" s="44">
        <v>2299939</v>
      </c>
      <c r="O1216" s="44" t="s">
        <v>1038</v>
      </c>
      <c r="P1216" s="25">
        <f t="shared" si="39"/>
        <v>-8.5376461870548814E-3</v>
      </c>
    </row>
    <row r="1217" spans="2:16">
      <c r="B1217" s="44">
        <v>406.63633276054213</v>
      </c>
      <c r="C1217" s="44">
        <v>413.89123525559091</v>
      </c>
      <c r="D1217" s="44">
        <v>405.67472494951858</v>
      </c>
      <c r="E1217" s="44">
        <v>413.29142048237821</v>
      </c>
      <c r="F1217" s="44">
        <v>7899777.5006781397</v>
      </c>
      <c r="G1217" s="44" t="s">
        <v>1039</v>
      </c>
      <c r="H1217" s="25">
        <f t="shared" si="38"/>
        <v>-1.6102651523877576E-2</v>
      </c>
      <c r="J1217" s="44">
        <v>313.20999999999998</v>
      </c>
      <c r="K1217" s="44">
        <v>325.01</v>
      </c>
      <c r="L1217" s="44">
        <v>312.39</v>
      </c>
      <c r="M1217" s="44">
        <v>324.98</v>
      </c>
      <c r="N1217" s="44">
        <v>1717808</v>
      </c>
      <c r="O1217" s="44" t="s">
        <v>1039</v>
      </c>
      <c r="P1217" s="25">
        <f t="shared" si="39"/>
        <v>-3.6217613391593462E-2</v>
      </c>
    </row>
    <row r="1218" spans="2:16">
      <c r="B1218" s="44">
        <v>412.32029180193859</v>
      </c>
      <c r="C1218" s="44">
        <v>414.19590307690532</v>
      </c>
      <c r="D1218" s="44">
        <v>410.48276400463624</v>
      </c>
      <c r="E1218" s="44">
        <v>412.78681440332628</v>
      </c>
      <c r="F1218" s="44">
        <v>8686530.2301456127</v>
      </c>
      <c r="G1218" s="44" t="s">
        <v>1040</v>
      </c>
      <c r="H1218" s="25">
        <f t="shared" ref="H1218:H1281" si="40">B1218/E1218-1</f>
        <v>-1.1301780607068102E-3</v>
      </c>
      <c r="J1218" s="44">
        <v>323.16000000000003</v>
      </c>
      <c r="K1218" s="44">
        <v>327.14</v>
      </c>
      <c r="L1218" s="44">
        <v>319.56</v>
      </c>
      <c r="M1218" s="44">
        <v>324.81</v>
      </c>
      <c r="N1218" s="44">
        <v>2106970</v>
      </c>
      <c r="O1218" s="44" t="s">
        <v>1040</v>
      </c>
      <c r="P1218" s="25">
        <f t="shared" si="39"/>
        <v>-5.0798928604414151E-3</v>
      </c>
    </row>
    <row r="1219" spans="2:16">
      <c r="B1219" s="44">
        <v>411.092099647265</v>
      </c>
      <c r="C1219" s="44">
        <v>411.25395442733827</v>
      </c>
      <c r="D1219" s="44">
        <v>404.4274910560128</v>
      </c>
      <c r="E1219" s="44">
        <v>407.18854318667445</v>
      </c>
      <c r="F1219" s="44">
        <v>7648925.4098000024</v>
      </c>
      <c r="G1219" s="44" t="s">
        <v>1041</v>
      </c>
      <c r="H1219" s="25">
        <f t="shared" si="40"/>
        <v>9.5866068088290568E-3</v>
      </c>
      <c r="J1219" s="44">
        <v>328.02</v>
      </c>
      <c r="K1219" s="44">
        <v>328.16</v>
      </c>
      <c r="L1219" s="44">
        <v>318.73860000000002</v>
      </c>
      <c r="M1219" s="44">
        <v>325.77</v>
      </c>
      <c r="N1219" s="44">
        <v>1825352</v>
      </c>
      <c r="O1219" s="44" t="s">
        <v>1041</v>
      </c>
      <c r="P1219" s="25">
        <f t="shared" si="39"/>
        <v>6.9067133253521984E-3</v>
      </c>
    </row>
    <row r="1220" spans="2:16">
      <c r="B1220" s="44">
        <v>407.52177361623706</v>
      </c>
      <c r="C1220" s="44">
        <v>407.67410752689426</v>
      </c>
      <c r="D1220" s="44">
        <v>399.65753547855951</v>
      </c>
      <c r="E1220" s="44">
        <v>404.9987432209773</v>
      </c>
      <c r="F1220" s="44">
        <v>11009009.305708533</v>
      </c>
      <c r="G1220" s="44" t="s">
        <v>1042</v>
      </c>
      <c r="H1220" s="25">
        <f t="shared" si="40"/>
        <v>6.2297240114721486E-3</v>
      </c>
      <c r="J1220" s="44">
        <v>325.52999999999997</v>
      </c>
      <c r="K1220" s="44">
        <v>325.81</v>
      </c>
      <c r="L1220" s="44">
        <v>315.25</v>
      </c>
      <c r="M1220" s="44">
        <v>321.18</v>
      </c>
      <c r="N1220" s="44">
        <v>2057509</v>
      </c>
      <c r="O1220" s="44" t="s">
        <v>1042</v>
      </c>
      <c r="P1220" s="25">
        <f t="shared" si="39"/>
        <v>1.3543807210909753E-2</v>
      </c>
    </row>
    <row r="1221" spans="2:16">
      <c r="B1221" s="44">
        <v>408.05494230353719</v>
      </c>
      <c r="C1221" s="44">
        <v>410.69222313178989</v>
      </c>
      <c r="D1221" s="44">
        <v>406.73154145470289</v>
      </c>
      <c r="E1221" s="44">
        <v>409.59732314894126</v>
      </c>
      <c r="F1221" s="44">
        <v>6467409.362430661</v>
      </c>
      <c r="G1221" s="44" t="s">
        <v>1043</v>
      </c>
      <c r="H1221" s="25">
        <f t="shared" si="40"/>
        <v>-3.7656028451221735E-3</v>
      </c>
      <c r="J1221" s="44">
        <v>324.29000000000002</v>
      </c>
      <c r="K1221" s="44">
        <v>333.07</v>
      </c>
      <c r="L1221" s="44">
        <v>323.23</v>
      </c>
      <c r="M1221" s="44">
        <v>330.94</v>
      </c>
      <c r="N1221" s="44">
        <v>1747008</v>
      </c>
      <c r="O1221" s="44" t="s">
        <v>1043</v>
      </c>
      <c r="P1221" s="25">
        <f t="shared" si="39"/>
        <v>-2.0094276908200759E-2</v>
      </c>
    </row>
    <row r="1222" spans="2:16">
      <c r="B1222" s="44">
        <v>409.4735518465323</v>
      </c>
      <c r="C1222" s="44">
        <v>412.09179093595282</v>
      </c>
      <c r="D1222" s="44">
        <v>407.39800231382804</v>
      </c>
      <c r="E1222" s="44">
        <v>409.58780227952519</v>
      </c>
      <c r="F1222" s="44">
        <v>8372709.1000127401</v>
      </c>
      <c r="G1222" s="44" t="s">
        <v>1044</v>
      </c>
      <c r="H1222" s="25">
        <f t="shared" si="40"/>
        <v>-2.7894002789397021E-4</v>
      </c>
      <c r="J1222" s="44">
        <v>334.18</v>
      </c>
      <c r="K1222" s="44">
        <v>341.71</v>
      </c>
      <c r="L1222" s="44">
        <v>333.38</v>
      </c>
      <c r="M1222" s="44">
        <v>339.88</v>
      </c>
      <c r="N1222" s="44">
        <v>1701854</v>
      </c>
      <c r="O1222" s="44" t="s">
        <v>1044</v>
      </c>
      <c r="P1222" s="25">
        <f t="shared" si="39"/>
        <v>-1.6770624926444544E-2</v>
      </c>
    </row>
    <row r="1223" spans="2:16">
      <c r="B1223" s="44">
        <v>410.02576227266468</v>
      </c>
      <c r="C1223" s="44">
        <v>418.35652301172985</v>
      </c>
      <c r="D1223" s="44">
        <v>409.89723053554764</v>
      </c>
      <c r="E1223" s="44">
        <v>417.75670823851715</v>
      </c>
      <c r="F1223" s="44">
        <v>7919032.0447737128</v>
      </c>
      <c r="G1223" s="44" t="s">
        <v>1045</v>
      </c>
      <c r="H1223" s="25">
        <f t="shared" si="40"/>
        <v>-1.8505857149368587E-2</v>
      </c>
      <c r="J1223" s="44">
        <v>341.95</v>
      </c>
      <c r="K1223" s="44">
        <v>355.7</v>
      </c>
      <c r="L1223" s="44">
        <v>341.65</v>
      </c>
      <c r="M1223" s="44">
        <v>352.49</v>
      </c>
      <c r="N1223" s="44">
        <v>1804990</v>
      </c>
      <c r="O1223" s="44" t="s">
        <v>1045</v>
      </c>
      <c r="P1223" s="25">
        <f t="shared" si="39"/>
        <v>-2.9901557490992658E-2</v>
      </c>
    </row>
    <row r="1224" spans="2:16">
      <c r="B1224" s="44">
        <v>418.03281345158331</v>
      </c>
      <c r="C1224" s="44">
        <v>420.11788385370363</v>
      </c>
      <c r="D1224" s="44">
        <v>416.27145260960958</v>
      </c>
      <c r="E1224" s="44">
        <v>419.47046473341055</v>
      </c>
      <c r="F1224" s="44">
        <v>6577379.3614133475</v>
      </c>
      <c r="G1224" s="44" t="s">
        <v>1046</v>
      </c>
      <c r="H1224" s="25">
        <f t="shared" si="40"/>
        <v>-3.4273003767760768E-3</v>
      </c>
      <c r="J1224" s="44">
        <v>354.63</v>
      </c>
      <c r="K1224" s="44">
        <v>362</v>
      </c>
      <c r="L1224" s="44">
        <v>352.57</v>
      </c>
      <c r="M1224" s="44">
        <v>360</v>
      </c>
      <c r="N1224" s="44">
        <v>1310958</v>
      </c>
      <c r="O1224" s="44" t="s">
        <v>1046</v>
      </c>
      <c r="P1224" s="25">
        <f t="shared" si="39"/>
        <v>-1.4916666666666689E-2</v>
      </c>
    </row>
    <row r="1225" spans="2:16">
      <c r="B1225" s="44">
        <v>418.20418910107264</v>
      </c>
      <c r="C1225" s="44">
        <v>418.22323083990477</v>
      </c>
      <c r="D1225" s="44">
        <v>414.76715524186977</v>
      </c>
      <c r="E1225" s="44">
        <v>416.94743433815086</v>
      </c>
      <c r="F1225" s="44">
        <v>6320119.2423044061</v>
      </c>
      <c r="G1225" s="44" t="s">
        <v>1047</v>
      </c>
      <c r="H1225" s="25">
        <f t="shared" si="40"/>
        <v>3.0141803484573515E-3</v>
      </c>
      <c r="J1225" s="44">
        <v>360</v>
      </c>
      <c r="K1225" s="44">
        <v>360.51</v>
      </c>
      <c r="L1225" s="44">
        <v>353.13</v>
      </c>
      <c r="M1225" s="44">
        <v>358.65</v>
      </c>
      <c r="N1225" s="44">
        <v>1573306</v>
      </c>
      <c r="O1225" s="44" t="s">
        <v>1047</v>
      </c>
      <c r="P1225" s="25">
        <f t="shared" si="39"/>
        <v>3.7641154328733606E-3</v>
      </c>
    </row>
    <row r="1226" spans="2:16">
      <c r="B1226" s="44">
        <v>415.6525960975647</v>
      </c>
      <c r="C1226" s="44">
        <v>417.37587346187416</v>
      </c>
      <c r="D1226" s="44">
        <v>415.48122044807536</v>
      </c>
      <c r="E1226" s="44">
        <v>416.28097347902565</v>
      </c>
      <c r="F1226" s="44">
        <v>5446569.81771529</v>
      </c>
      <c r="G1226" s="44" t="s">
        <v>1048</v>
      </c>
      <c r="H1226" s="25">
        <f t="shared" si="40"/>
        <v>-1.5095030075704674E-3</v>
      </c>
      <c r="J1226" s="44">
        <v>359.3</v>
      </c>
      <c r="K1226" s="44">
        <v>366.15</v>
      </c>
      <c r="L1226" s="44">
        <v>358.79</v>
      </c>
      <c r="M1226" s="44">
        <v>363.02</v>
      </c>
      <c r="N1226" s="44">
        <v>1157830</v>
      </c>
      <c r="O1226" s="44" t="s">
        <v>1048</v>
      </c>
      <c r="P1226" s="25">
        <f t="shared" si="39"/>
        <v>-1.024736929094805E-2</v>
      </c>
    </row>
    <row r="1227" spans="2:16">
      <c r="B1227" s="44">
        <v>416.79510042749359</v>
      </c>
      <c r="C1227" s="44">
        <v>419.26100560625696</v>
      </c>
      <c r="D1227" s="44">
        <v>416.36666130377029</v>
      </c>
      <c r="E1227" s="44">
        <v>418.33748127289766</v>
      </c>
      <c r="F1227" s="44">
        <v>3940639.0698580714</v>
      </c>
      <c r="G1227" s="44" t="s">
        <v>1049</v>
      </c>
      <c r="H1227" s="25">
        <f t="shared" si="40"/>
        <v>-3.6869296069550472E-3</v>
      </c>
      <c r="J1227" s="44">
        <v>363.3</v>
      </c>
      <c r="K1227" s="44">
        <v>367.65</v>
      </c>
      <c r="L1227" s="44">
        <v>362.81</v>
      </c>
      <c r="M1227" s="44">
        <v>366.09</v>
      </c>
      <c r="N1227" s="44">
        <v>754463</v>
      </c>
      <c r="O1227" s="44" t="s">
        <v>1049</v>
      </c>
      <c r="P1227" s="25">
        <f t="shared" si="39"/>
        <v>-7.6210767843971627E-3</v>
      </c>
    </row>
    <row r="1228" spans="2:16">
      <c r="B1228" s="44">
        <v>417.97568823508686</v>
      </c>
      <c r="C1228" s="44">
        <v>418.87064996019785</v>
      </c>
      <c r="D1228" s="44">
        <v>416.57612043092394</v>
      </c>
      <c r="E1228" s="44">
        <v>417.49012389486705</v>
      </c>
      <c r="F1228" s="44">
        <v>4828010.7615373982</v>
      </c>
      <c r="G1228" s="44" t="s">
        <v>1050</v>
      </c>
      <c r="H1228" s="25">
        <f t="shared" si="40"/>
        <v>1.1630558722919293E-3</v>
      </c>
      <c r="J1228" s="44">
        <v>365.27</v>
      </c>
      <c r="K1228" s="44">
        <v>369.21</v>
      </c>
      <c r="L1228" s="44">
        <v>364.02</v>
      </c>
      <c r="M1228" s="44">
        <v>365.36</v>
      </c>
      <c r="N1228" s="44">
        <v>897461</v>
      </c>
      <c r="O1228" s="44" t="s">
        <v>1050</v>
      </c>
      <c r="P1228" s="25">
        <f t="shared" si="39"/>
        <v>-2.4633238449756067E-4</v>
      </c>
    </row>
    <row r="1229" spans="2:16">
      <c r="B1229" s="44">
        <v>417.47108215603492</v>
      </c>
      <c r="C1229" s="44">
        <v>419.09915082618363</v>
      </c>
      <c r="D1229" s="44">
        <v>416.68561042920874</v>
      </c>
      <c r="E1229" s="44">
        <v>418.23275170932084</v>
      </c>
      <c r="F1229" s="44">
        <v>5110713.9352050982</v>
      </c>
      <c r="G1229" s="44" t="s">
        <v>1051</v>
      </c>
      <c r="H1229" s="25">
        <f t="shared" si="40"/>
        <v>-1.8211619012928892E-3</v>
      </c>
      <c r="J1229" s="44">
        <v>364.54</v>
      </c>
      <c r="K1229" s="44">
        <v>366.72</v>
      </c>
      <c r="L1229" s="44">
        <v>362.02589999999998</v>
      </c>
      <c r="M1229" s="44">
        <v>364.58</v>
      </c>
      <c r="N1229" s="44">
        <v>931177</v>
      </c>
      <c r="O1229" s="44" t="s">
        <v>1051</v>
      </c>
      <c r="P1229" s="25">
        <f t="shared" si="39"/>
        <v>-1.0971528882541826E-4</v>
      </c>
    </row>
    <row r="1230" spans="2:16">
      <c r="B1230" s="44">
        <v>417.7852708467654</v>
      </c>
      <c r="C1230" s="44">
        <v>417.79479171618146</v>
      </c>
      <c r="D1230" s="44">
        <v>413.15812831055314</v>
      </c>
      <c r="E1230" s="44">
        <v>413.18669091880139</v>
      </c>
      <c r="F1230" s="44">
        <v>5237249.6482110973</v>
      </c>
      <c r="G1230" s="44" t="s">
        <v>1052</v>
      </c>
      <c r="H1230" s="25">
        <f t="shared" si="40"/>
        <v>1.1129545140329045E-2</v>
      </c>
      <c r="J1230" s="44">
        <v>364.58</v>
      </c>
      <c r="K1230" s="44">
        <v>366.53</v>
      </c>
      <c r="L1230" s="44">
        <v>361.61</v>
      </c>
      <c r="M1230" s="44">
        <v>363.46</v>
      </c>
      <c r="N1230" s="44">
        <v>1136634</v>
      </c>
      <c r="O1230" s="44" t="s">
        <v>1052</v>
      </c>
      <c r="P1230" s="25">
        <f t="shared" si="39"/>
        <v>3.0814945248445191E-3</v>
      </c>
    </row>
    <row r="1231" spans="2:16">
      <c r="B1231" s="44">
        <v>411.91089441704742</v>
      </c>
      <c r="C1231" s="44">
        <v>413.29741863011031</v>
      </c>
      <c r="D1231" s="44">
        <v>410.22570053040221</v>
      </c>
      <c r="E1231" s="44">
        <v>410.26378400806652</v>
      </c>
      <c r="F1231" s="44">
        <v>5285950.0325706564</v>
      </c>
      <c r="G1231" s="44" t="s">
        <v>1053</v>
      </c>
      <c r="H1231" s="25">
        <f t="shared" si="40"/>
        <v>4.0147594625328242E-3</v>
      </c>
      <c r="J1231" s="44">
        <v>363.94</v>
      </c>
      <c r="K1231" s="44">
        <v>365.67</v>
      </c>
      <c r="L1231" s="44">
        <v>357.33</v>
      </c>
      <c r="M1231" s="44">
        <v>360.65</v>
      </c>
      <c r="N1231" s="44">
        <v>1022667</v>
      </c>
      <c r="O1231" s="44" t="s">
        <v>1053</v>
      </c>
      <c r="P1231" s="25">
        <f t="shared" si="39"/>
        <v>9.122417856647802E-3</v>
      </c>
    </row>
    <row r="1232" spans="2:16">
      <c r="B1232" s="44">
        <v>409.38786402178766</v>
      </c>
      <c r="C1232" s="44">
        <v>409.48307271594837</v>
      </c>
      <c r="D1232" s="44">
        <v>404.94161800448086</v>
      </c>
      <c r="E1232" s="44">
        <v>405.06538930688981</v>
      </c>
      <c r="F1232" s="44">
        <v>5243442.3599712709</v>
      </c>
      <c r="G1232" s="44" t="s">
        <v>1054</v>
      </c>
      <c r="H1232" s="25">
        <f t="shared" si="40"/>
        <v>1.0671054177929351E-2</v>
      </c>
      <c r="J1232" s="44">
        <v>362.21</v>
      </c>
      <c r="K1232" s="44">
        <v>362.54</v>
      </c>
      <c r="L1232" s="44">
        <v>346.83</v>
      </c>
      <c r="M1232" s="44">
        <v>346.96</v>
      </c>
      <c r="N1232" s="44">
        <v>1410424</v>
      </c>
      <c r="O1232" s="44" t="s">
        <v>1054</v>
      </c>
      <c r="P1232" s="25">
        <f t="shared" si="39"/>
        <v>4.3953193451694794E-2</v>
      </c>
    </row>
    <row r="1233" spans="2:16">
      <c r="B1233" s="44">
        <v>405.29389017287565</v>
      </c>
      <c r="C1233" s="44">
        <v>405.44622408353285</v>
      </c>
      <c r="D1233" s="44">
        <v>399.41951374315767</v>
      </c>
      <c r="E1233" s="44">
        <v>401.44745892878149</v>
      </c>
      <c r="F1233" s="44">
        <v>7264738.8570651868</v>
      </c>
      <c r="G1233" s="44" t="s">
        <v>1055</v>
      </c>
      <c r="H1233" s="25">
        <f t="shared" si="40"/>
        <v>9.5814063796990645E-3</v>
      </c>
      <c r="J1233" s="44">
        <v>348.09</v>
      </c>
      <c r="K1233" s="44">
        <v>348.77</v>
      </c>
      <c r="L1233" s="44">
        <v>332.64</v>
      </c>
      <c r="M1233" s="44">
        <v>333.45</v>
      </c>
      <c r="N1233" s="44">
        <v>1699511</v>
      </c>
      <c r="O1233" s="44" t="s">
        <v>1055</v>
      </c>
      <c r="P1233" s="25">
        <f t="shared" si="39"/>
        <v>4.3904633378317515E-2</v>
      </c>
    </row>
    <row r="1234" spans="2:16">
      <c r="B1234" s="44">
        <v>398.22664401401767</v>
      </c>
      <c r="C1234" s="44">
        <v>398.62506038011077</v>
      </c>
      <c r="D1234" s="44">
        <v>394.90650762990839</v>
      </c>
      <c r="E1234" s="44">
        <v>397.83771375187911</v>
      </c>
      <c r="F1234" s="44">
        <v>10439916.163052257</v>
      </c>
      <c r="G1234" s="44" t="s">
        <v>1056</v>
      </c>
      <c r="H1234" s="25">
        <f t="shared" si="40"/>
        <v>9.7761033882548531E-4</v>
      </c>
      <c r="J1234" s="44">
        <v>332.11</v>
      </c>
      <c r="K1234" s="44">
        <v>334.2</v>
      </c>
      <c r="L1234" s="44">
        <v>326.06</v>
      </c>
      <c r="M1234" s="44">
        <v>330.38</v>
      </c>
      <c r="N1234" s="44">
        <v>1560432</v>
      </c>
      <c r="O1234" s="44" t="s">
        <v>1056</v>
      </c>
      <c r="P1234" s="25">
        <f t="shared" si="39"/>
        <v>5.2363944548701191E-3</v>
      </c>
    </row>
    <row r="1235" spans="2:16">
      <c r="B1235" s="44">
        <v>402.58076572917804</v>
      </c>
      <c r="C1235" s="44">
        <v>406.75465146920112</v>
      </c>
      <c r="D1235" s="44">
        <v>400.94915584898723</v>
      </c>
      <c r="E1235" s="44">
        <v>403.96573690654935</v>
      </c>
      <c r="F1235" s="44">
        <v>9364699.1879044864</v>
      </c>
      <c r="G1235" s="44" t="s">
        <v>1057</v>
      </c>
      <c r="H1235" s="25">
        <f t="shared" si="40"/>
        <v>-3.4284372431607757E-3</v>
      </c>
      <c r="J1235" s="44">
        <v>337.4</v>
      </c>
      <c r="K1235" s="44">
        <v>343.1</v>
      </c>
      <c r="L1235" s="44">
        <v>332.4</v>
      </c>
      <c r="M1235" s="44">
        <v>332.4</v>
      </c>
      <c r="N1235" s="44">
        <v>2633728</v>
      </c>
      <c r="O1235" s="44" t="s">
        <v>1057</v>
      </c>
      <c r="P1235" s="25">
        <f t="shared" si="39"/>
        <v>1.5042117930204491E-2</v>
      </c>
    </row>
    <row r="1236" spans="2:16">
      <c r="B1236" s="44">
        <v>406.80208198897407</v>
      </c>
      <c r="C1236" s="44">
        <v>412.45579994591441</v>
      </c>
      <c r="D1236" s="44">
        <v>405.38865249973907</v>
      </c>
      <c r="E1236" s="44">
        <v>412.22813345100406</v>
      </c>
      <c r="F1236" s="44">
        <v>7547375.6499683224</v>
      </c>
      <c r="G1236" s="44" t="s">
        <v>1058</v>
      </c>
      <c r="H1236" s="25">
        <f t="shared" si="40"/>
        <v>-1.3162739322533201E-2</v>
      </c>
      <c r="J1236" s="44">
        <v>334.53</v>
      </c>
      <c r="K1236" s="44">
        <v>341.72</v>
      </c>
      <c r="L1236" s="44">
        <v>333.13</v>
      </c>
      <c r="M1236" s="44">
        <v>338.01</v>
      </c>
      <c r="N1236" s="44">
        <v>2004051</v>
      </c>
      <c r="O1236" s="44" t="s">
        <v>1058</v>
      </c>
      <c r="P1236" s="25">
        <f t="shared" si="39"/>
        <v>-1.0295553385994527E-2</v>
      </c>
    </row>
    <row r="1237" spans="2:16">
      <c r="B1237" s="44">
        <v>410.51114863522184</v>
      </c>
      <c r="C1237" s="44">
        <v>410.7293290261776</v>
      </c>
      <c r="D1237" s="44">
        <v>401.89776624444704</v>
      </c>
      <c r="E1237" s="44">
        <v>404.21237560936891</v>
      </c>
      <c r="F1237" s="44">
        <v>7243493.2538026348</v>
      </c>
      <c r="G1237" s="44" t="s">
        <v>1059</v>
      </c>
      <c r="H1237" s="25">
        <f t="shared" si="40"/>
        <v>1.5582830724460761E-2</v>
      </c>
      <c r="J1237" s="44">
        <v>331.66</v>
      </c>
      <c r="K1237" s="44">
        <v>334.9</v>
      </c>
      <c r="L1237" s="44">
        <v>323.79000000000002</v>
      </c>
      <c r="M1237" s="44">
        <v>330.35</v>
      </c>
      <c r="N1237" s="44">
        <v>2192067</v>
      </c>
      <c r="O1237" s="44" t="s">
        <v>1059</v>
      </c>
      <c r="P1237" s="25">
        <f t="shared" si="39"/>
        <v>3.9654911457545072E-3</v>
      </c>
    </row>
    <row r="1238" spans="2:16">
      <c r="B1238" s="44">
        <v>404.19340340145965</v>
      </c>
      <c r="C1238" s="44">
        <v>406.23291575169821</v>
      </c>
      <c r="D1238" s="44">
        <v>401.45191935858088</v>
      </c>
      <c r="E1238" s="44">
        <v>403.91830638677635</v>
      </c>
      <c r="F1238" s="44">
        <v>6876296.1393000381</v>
      </c>
      <c r="G1238" s="44" t="s">
        <v>1060</v>
      </c>
      <c r="H1238" s="25">
        <f t="shared" si="40"/>
        <v>6.8107092531688451E-4</v>
      </c>
      <c r="J1238" s="44">
        <v>328.24</v>
      </c>
      <c r="K1238" s="44">
        <v>336.51</v>
      </c>
      <c r="L1238" s="44">
        <v>325.60000000000002</v>
      </c>
      <c r="M1238" s="44">
        <v>336.51</v>
      </c>
      <c r="N1238" s="44">
        <v>1482261</v>
      </c>
      <c r="O1238" s="44" t="s">
        <v>1060</v>
      </c>
      <c r="P1238" s="25">
        <f t="shared" si="39"/>
        <v>-2.4575792695610721E-2</v>
      </c>
    </row>
    <row r="1239" spans="2:16">
      <c r="B1239" s="44">
        <v>406.96334575620227</v>
      </c>
      <c r="C1239" s="44">
        <v>410.4257736996305</v>
      </c>
      <c r="D1239" s="44">
        <v>406.71670705338272</v>
      </c>
      <c r="E1239" s="44">
        <v>410.14119058099254</v>
      </c>
      <c r="F1239" s="44">
        <v>6244795.5750355637</v>
      </c>
      <c r="G1239" s="44" t="s">
        <v>1061</v>
      </c>
      <c r="H1239" s="25">
        <f t="shared" si="40"/>
        <v>-7.7481728189471299E-3</v>
      </c>
      <c r="J1239" s="44">
        <v>340.36</v>
      </c>
      <c r="K1239" s="44">
        <v>345.77</v>
      </c>
      <c r="L1239" s="44">
        <v>339.63</v>
      </c>
      <c r="M1239" s="44">
        <v>344.74</v>
      </c>
      <c r="N1239" s="44">
        <v>1530487</v>
      </c>
      <c r="O1239" s="44" t="s">
        <v>1061</v>
      </c>
      <c r="P1239" s="25">
        <f t="shared" si="39"/>
        <v>-1.2705227127690399E-2</v>
      </c>
    </row>
    <row r="1240" spans="2:16">
      <c r="B1240" s="44">
        <v>410.60600967476785</v>
      </c>
      <c r="C1240" s="44">
        <v>410.71035681826839</v>
      </c>
      <c r="D1240" s="44">
        <v>406.90642913247467</v>
      </c>
      <c r="E1240" s="44">
        <v>409.26846901716954</v>
      </c>
      <c r="F1240" s="44">
        <v>6576251.9890753878</v>
      </c>
      <c r="G1240" s="44" t="s">
        <v>1062</v>
      </c>
      <c r="H1240" s="25">
        <f t="shared" si="40"/>
        <v>3.2681253476729566E-3</v>
      </c>
      <c r="J1240" s="44">
        <v>344.96</v>
      </c>
      <c r="K1240" s="44">
        <v>346.08</v>
      </c>
      <c r="L1240" s="44">
        <v>341.47</v>
      </c>
      <c r="M1240" s="44">
        <v>343.16</v>
      </c>
      <c r="N1240" s="44">
        <v>1316566</v>
      </c>
      <c r="O1240" s="44" t="s">
        <v>1062</v>
      </c>
      <c r="P1240" s="25">
        <f t="shared" si="39"/>
        <v>5.245366592842915E-3</v>
      </c>
    </row>
    <row r="1241" spans="2:16">
      <c r="B1241" s="44">
        <v>406.72619315733732</v>
      </c>
      <c r="C1241" s="44">
        <v>409.15463576971433</v>
      </c>
      <c r="D1241" s="44">
        <v>406.58390159801837</v>
      </c>
      <c r="E1241" s="44">
        <v>408.33883082961893</v>
      </c>
      <c r="F1241" s="44">
        <v>5308214.019264847</v>
      </c>
      <c r="G1241" s="44" t="s">
        <v>1063</v>
      </c>
      <c r="H1241" s="25">
        <f t="shared" si="40"/>
        <v>-3.9492635784973418E-3</v>
      </c>
      <c r="J1241" s="44">
        <v>340.34</v>
      </c>
      <c r="K1241" s="44">
        <v>345.98</v>
      </c>
      <c r="L1241" s="44">
        <v>338.774</v>
      </c>
      <c r="M1241" s="44">
        <v>339.73</v>
      </c>
      <c r="N1241" s="44">
        <v>1296697</v>
      </c>
      <c r="O1241" s="44" t="s">
        <v>1063</v>
      </c>
      <c r="P1241" s="25">
        <f t="shared" si="39"/>
        <v>1.7955435198537817E-3</v>
      </c>
    </row>
    <row r="1242" spans="2:16">
      <c r="B1242" s="44">
        <v>409.51510771998909</v>
      </c>
      <c r="C1242" s="44">
        <v>409.93249629399139</v>
      </c>
      <c r="D1242" s="44">
        <v>407.18152614715802</v>
      </c>
      <c r="E1242" s="44">
        <v>408.80364992339423</v>
      </c>
      <c r="F1242" s="44">
        <v>4719052.2277907906</v>
      </c>
      <c r="G1242" s="44" t="s">
        <v>1064</v>
      </c>
      <c r="H1242" s="25">
        <f t="shared" si="40"/>
        <v>1.7403411068570573E-3</v>
      </c>
      <c r="J1242" s="44">
        <v>340.8</v>
      </c>
      <c r="K1242" s="44">
        <v>341.99</v>
      </c>
      <c r="L1242" s="44">
        <v>337.125</v>
      </c>
      <c r="M1242" s="44">
        <v>340.85</v>
      </c>
      <c r="N1242" s="44">
        <v>2094993</v>
      </c>
      <c r="O1242" s="44" t="s">
        <v>1064</v>
      </c>
      <c r="P1242" s="25">
        <f t="shared" si="39"/>
        <v>-1.4669209329620791E-4</v>
      </c>
    </row>
    <row r="1243" spans="2:16">
      <c r="B1243" s="44">
        <v>408.36728914148273</v>
      </c>
      <c r="C1243" s="44">
        <v>408.94594148271324</v>
      </c>
      <c r="D1243" s="44">
        <v>404.99972223760051</v>
      </c>
      <c r="E1243" s="44">
        <v>405.03766665341891</v>
      </c>
      <c r="F1243" s="44">
        <v>4988264.9638331989</v>
      </c>
      <c r="G1243" s="44" t="s">
        <v>1065</v>
      </c>
      <c r="H1243" s="25">
        <f t="shared" si="40"/>
        <v>8.2205255515479525E-3</v>
      </c>
      <c r="J1243" s="44">
        <v>340.49</v>
      </c>
      <c r="K1243" s="44">
        <v>342.62</v>
      </c>
      <c r="L1243" s="44">
        <v>329.495</v>
      </c>
      <c r="M1243" s="44">
        <v>329.91</v>
      </c>
      <c r="N1243" s="44">
        <v>2138399</v>
      </c>
      <c r="O1243" s="44" t="s">
        <v>1065</v>
      </c>
      <c r="P1243" s="25">
        <f t="shared" si="39"/>
        <v>3.2069352247582561E-2</v>
      </c>
    </row>
    <row r="1244" spans="2:16">
      <c r="B1244" s="44">
        <v>400.14283701284643</v>
      </c>
      <c r="C1244" s="44">
        <v>401.88828014049244</v>
      </c>
      <c r="D1244" s="44">
        <v>395.57053490673024</v>
      </c>
      <c r="E1244" s="44">
        <v>397.85668595978836</v>
      </c>
      <c r="F1244" s="44">
        <v>7684390.8045798233</v>
      </c>
      <c r="G1244" s="44" t="s">
        <v>1066</v>
      </c>
      <c r="H1244" s="25">
        <f t="shared" si="40"/>
        <v>5.7461672349252702E-3</v>
      </c>
      <c r="J1244" s="44">
        <v>323.77</v>
      </c>
      <c r="K1244" s="44">
        <v>325.52999999999997</v>
      </c>
      <c r="L1244" s="44">
        <v>314</v>
      </c>
      <c r="M1244" s="44">
        <v>321.24</v>
      </c>
      <c r="N1244" s="44">
        <v>2954113</v>
      </c>
      <c r="O1244" s="44" t="s">
        <v>1066</v>
      </c>
      <c r="P1244" s="25">
        <f t="shared" si="39"/>
        <v>7.8757315402813166E-3</v>
      </c>
    </row>
    <row r="1245" spans="2:16">
      <c r="B1245" s="44">
        <v>395.41875724345664</v>
      </c>
      <c r="C1245" s="44">
        <v>401.44243325462634</v>
      </c>
      <c r="D1245" s="44">
        <v>391.55791293393531</v>
      </c>
      <c r="E1245" s="44">
        <v>400.42742013148433</v>
      </c>
      <c r="F1245" s="44">
        <v>10783068.632767944</v>
      </c>
      <c r="G1245" s="44" t="s">
        <v>1067</v>
      </c>
      <c r="H1245" s="25">
        <f t="shared" si="40"/>
        <v>-1.2508291481095446E-2</v>
      </c>
      <c r="J1245" s="44">
        <v>321.63</v>
      </c>
      <c r="K1245" s="44">
        <v>329.99</v>
      </c>
      <c r="L1245" s="44">
        <v>313.69</v>
      </c>
      <c r="M1245" s="44">
        <v>329.2</v>
      </c>
      <c r="N1245" s="44">
        <v>2485166</v>
      </c>
      <c r="O1245" s="44" t="s">
        <v>1067</v>
      </c>
      <c r="P1245" s="25">
        <f t="shared" si="39"/>
        <v>-2.2995139732685299E-2</v>
      </c>
    </row>
    <row r="1246" spans="2:16">
      <c r="B1246" s="44">
        <v>398.94758791456707</v>
      </c>
      <c r="C1246" s="44">
        <v>400.37050350775678</v>
      </c>
      <c r="D1246" s="44">
        <v>392.75316203221468</v>
      </c>
      <c r="E1246" s="44">
        <v>393.12312008644403</v>
      </c>
      <c r="F1246" s="44">
        <v>10982034.405126488</v>
      </c>
      <c r="G1246" s="44" t="s">
        <v>1068</v>
      </c>
      <c r="H1246" s="25">
        <f t="shared" si="40"/>
        <v>1.4815887264127969E-2</v>
      </c>
      <c r="J1246" s="44">
        <v>327.32</v>
      </c>
      <c r="K1246" s="44">
        <v>329.52</v>
      </c>
      <c r="L1246" s="44">
        <v>318.44</v>
      </c>
      <c r="M1246" s="44">
        <v>319.93</v>
      </c>
      <c r="N1246" s="44">
        <v>1350000</v>
      </c>
      <c r="O1246" s="44" t="s">
        <v>1068</v>
      </c>
      <c r="P1246" s="25">
        <f t="shared" si="39"/>
        <v>2.3098802863126267E-2</v>
      </c>
    </row>
    <row r="1247" spans="2:16">
      <c r="B1247" s="44">
        <v>392.95237021526123</v>
      </c>
      <c r="C1247" s="44">
        <v>405.26647148080383</v>
      </c>
      <c r="D1247" s="44">
        <v>392.69624540848713</v>
      </c>
      <c r="E1247" s="44">
        <v>402.65665456081484</v>
      </c>
      <c r="F1247" s="44">
        <v>8823950.3172879331</v>
      </c>
      <c r="G1247" s="44" t="s">
        <v>1069</v>
      </c>
      <c r="H1247" s="25">
        <f t="shared" si="40"/>
        <v>-2.4100643154993384E-2</v>
      </c>
      <c r="J1247" s="44">
        <v>319.93</v>
      </c>
      <c r="K1247" s="44">
        <v>330.13</v>
      </c>
      <c r="L1247" s="44">
        <v>319.64999999999998</v>
      </c>
      <c r="M1247" s="44">
        <v>328.61</v>
      </c>
      <c r="N1247" s="44">
        <v>1673336</v>
      </c>
      <c r="O1247" s="44" t="s">
        <v>1069</v>
      </c>
      <c r="P1247" s="25">
        <f t="shared" si="39"/>
        <v>-2.6414290496333037E-2</v>
      </c>
    </row>
    <row r="1248" spans="2:16">
      <c r="B1248" s="44">
        <v>397.52467232137741</v>
      </c>
      <c r="C1248" s="44">
        <v>404.70565301500795</v>
      </c>
      <c r="D1248" s="44">
        <v>397.11676985132971</v>
      </c>
      <c r="E1248" s="44">
        <v>402.9696959913166</v>
      </c>
      <c r="F1248" s="44">
        <v>9126658.3641050048</v>
      </c>
      <c r="G1248" s="44" t="s">
        <v>1070</v>
      </c>
      <c r="H1248" s="25">
        <f t="shared" si="40"/>
        <v>-1.3512241054614016E-2</v>
      </c>
      <c r="J1248" s="44">
        <v>324.33999999999997</v>
      </c>
      <c r="K1248" s="44">
        <v>336.22</v>
      </c>
      <c r="L1248" s="44">
        <v>321.5</v>
      </c>
      <c r="M1248" s="44">
        <v>335.22</v>
      </c>
      <c r="N1248" s="44">
        <v>2414490</v>
      </c>
      <c r="O1248" s="44" t="s">
        <v>1070</v>
      </c>
      <c r="P1248" s="25">
        <f t="shared" si="39"/>
        <v>-3.2456297356959762E-2</v>
      </c>
    </row>
    <row r="1249" spans="2:16">
      <c r="B1249" s="44">
        <v>405.28430535623846</v>
      </c>
      <c r="C1249" s="44">
        <v>406.93488744433847</v>
      </c>
      <c r="D1249" s="44">
        <v>402.73254339245165</v>
      </c>
      <c r="E1249" s="44">
        <v>404.78154184664476</v>
      </c>
      <c r="F1249" s="44">
        <v>6642095.6697887182</v>
      </c>
      <c r="G1249" s="44" t="s">
        <v>1071</v>
      </c>
      <c r="H1249" s="25">
        <f t="shared" si="40"/>
        <v>1.242061353143864E-3</v>
      </c>
      <c r="J1249" s="44">
        <v>334.74</v>
      </c>
      <c r="K1249" s="44">
        <v>339.67</v>
      </c>
      <c r="L1249" s="44">
        <v>328.2</v>
      </c>
      <c r="M1249" s="44">
        <v>332.81369999999998</v>
      </c>
      <c r="N1249" s="44">
        <v>1763680</v>
      </c>
      <c r="O1249" s="44" t="s">
        <v>1071</v>
      </c>
      <c r="P1249" s="25">
        <f t="shared" si="39"/>
        <v>5.7879227928419041E-3</v>
      </c>
    </row>
    <row r="1250" spans="2:16">
      <c r="B1250" s="44">
        <v>400.44639233939353</v>
      </c>
      <c r="C1250" s="44">
        <v>404.60130587150741</v>
      </c>
      <c r="D1250" s="44">
        <v>399.27011544902336</v>
      </c>
      <c r="E1250" s="44">
        <v>403.3396540455459</v>
      </c>
      <c r="F1250" s="44">
        <v>8119748.6732861102</v>
      </c>
      <c r="G1250" s="44" t="s">
        <v>1072</v>
      </c>
      <c r="H1250" s="25">
        <f t="shared" si="40"/>
        <v>-7.173263717397016E-3</v>
      </c>
      <c r="J1250" s="44">
        <v>329.23</v>
      </c>
      <c r="K1250" s="44">
        <v>334.95</v>
      </c>
      <c r="L1250" s="44">
        <v>328.04</v>
      </c>
      <c r="M1250" s="44">
        <v>330.67</v>
      </c>
      <c r="N1250" s="44">
        <v>1491805</v>
      </c>
      <c r="O1250" s="44" t="s">
        <v>1072</v>
      </c>
      <c r="P1250" s="25">
        <f t="shared" si="39"/>
        <v>-4.3547948105361334E-3</v>
      </c>
    </row>
    <row r="1251" spans="2:16">
      <c r="B1251" s="44">
        <v>409.35384395276088</v>
      </c>
      <c r="C1251" s="44">
        <v>409.56253823976209</v>
      </c>
      <c r="D1251" s="44">
        <v>405.73015224210451</v>
      </c>
      <c r="E1251" s="44">
        <v>406.53647107824537</v>
      </c>
      <c r="F1251" s="44">
        <v>4817138.8610865399</v>
      </c>
      <c r="G1251" s="44" t="s">
        <v>1073</v>
      </c>
      <c r="H1251" s="25">
        <f t="shared" si="40"/>
        <v>6.930184804927908E-3</v>
      </c>
      <c r="J1251" s="44">
        <v>339.42</v>
      </c>
      <c r="K1251" s="44">
        <v>340.5</v>
      </c>
      <c r="L1251" s="44">
        <v>331.79</v>
      </c>
      <c r="M1251" s="44">
        <v>335.45</v>
      </c>
      <c r="N1251" s="44">
        <v>993529</v>
      </c>
      <c r="O1251" s="44" t="s">
        <v>1073</v>
      </c>
      <c r="P1251" s="25">
        <f t="shared" si="39"/>
        <v>1.1834848710687185E-2</v>
      </c>
    </row>
    <row r="1252" spans="2:16">
      <c r="B1252" s="44">
        <v>408.34831693357359</v>
      </c>
      <c r="C1252" s="44">
        <v>409.12617745785059</v>
      </c>
      <c r="D1252" s="44">
        <v>405.09458327714651</v>
      </c>
      <c r="E1252" s="44">
        <v>407.49456757765972</v>
      </c>
      <c r="F1252" s="44">
        <v>7169762.2464947291</v>
      </c>
      <c r="G1252" s="44" t="s">
        <v>1074</v>
      </c>
      <c r="H1252" s="25">
        <f t="shared" si="40"/>
        <v>2.0951183741881874E-3</v>
      </c>
      <c r="J1252" s="44">
        <v>335.9</v>
      </c>
      <c r="K1252" s="44">
        <v>341.69</v>
      </c>
      <c r="L1252" s="44">
        <v>332.81</v>
      </c>
      <c r="M1252" s="44">
        <v>341</v>
      </c>
      <c r="N1252" s="44">
        <v>2072368</v>
      </c>
      <c r="O1252" s="44" t="s">
        <v>1074</v>
      </c>
      <c r="P1252" s="25">
        <f t="shared" si="39"/>
        <v>-1.4956011730205332E-2</v>
      </c>
    </row>
    <row r="1253" spans="2:16">
      <c r="B1253" s="44">
        <v>407.81709511211608</v>
      </c>
      <c r="C1253" s="44">
        <v>413.03445228714492</v>
      </c>
      <c r="D1253" s="44">
        <v>407.63685913697873</v>
      </c>
      <c r="E1253" s="44">
        <v>410.68189850640465</v>
      </c>
      <c r="F1253" s="44">
        <v>5140074.3902207315</v>
      </c>
      <c r="G1253" s="44" t="s">
        <v>1075</v>
      </c>
      <c r="H1253" s="25">
        <f t="shared" si="40"/>
        <v>-6.9757235580810706E-3</v>
      </c>
      <c r="J1253" s="44">
        <v>340.72</v>
      </c>
      <c r="K1253" s="44">
        <v>349</v>
      </c>
      <c r="L1253" s="44">
        <v>340.43</v>
      </c>
      <c r="M1253" s="44">
        <v>348</v>
      </c>
      <c r="N1253" s="44">
        <v>2041454</v>
      </c>
      <c r="O1253" s="44" t="s">
        <v>1075</v>
      </c>
      <c r="P1253" s="25">
        <f t="shared" si="39"/>
        <v>-2.0919540229884959E-2</v>
      </c>
    </row>
    <row r="1254" spans="2:16">
      <c r="B1254" s="44">
        <v>408.89851096294024</v>
      </c>
      <c r="C1254" s="44">
        <v>410.7388151301322</v>
      </c>
      <c r="D1254" s="44">
        <v>408.26275227590304</v>
      </c>
      <c r="E1254" s="44">
        <v>409.67637148721724</v>
      </c>
      <c r="F1254" s="44">
        <v>5151245.4674624726</v>
      </c>
      <c r="G1254" s="44" t="s">
        <v>1076</v>
      </c>
      <c r="H1254" s="25">
        <f t="shared" si="40"/>
        <v>-1.8987195220783182E-3</v>
      </c>
      <c r="J1254" s="44">
        <v>348.65</v>
      </c>
      <c r="K1254" s="44">
        <v>359.96</v>
      </c>
      <c r="L1254" s="44">
        <v>346</v>
      </c>
      <c r="M1254" s="44">
        <v>359.2</v>
      </c>
      <c r="N1254" s="44">
        <v>1680834</v>
      </c>
      <c r="O1254" s="44" t="s">
        <v>1076</v>
      </c>
      <c r="P1254" s="25">
        <f t="shared" si="39"/>
        <v>-2.9370824053452149E-2</v>
      </c>
    </row>
    <row r="1255" spans="2:16">
      <c r="B1255" s="44">
        <v>409.66688538326264</v>
      </c>
      <c r="C1255" s="44">
        <v>409.96095460585519</v>
      </c>
      <c r="D1255" s="44">
        <v>406.76413757315572</v>
      </c>
      <c r="E1255" s="44">
        <v>409.26846901716954</v>
      </c>
      <c r="F1255" s="44">
        <v>4993433.5768101038</v>
      </c>
      <c r="G1255" s="44" t="s">
        <v>1077</v>
      </c>
      <c r="H1255" s="25">
        <f t="shared" si="40"/>
        <v>9.7348414611531098E-4</v>
      </c>
      <c r="J1255" s="44">
        <v>359.2</v>
      </c>
      <c r="K1255" s="44">
        <v>362.66</v>
      </c>
      <c r="L1255" s="44">
        <v>356.42</v>
      </c>
      <c r="M1255" s="44">
        <v>361.46</v>
      </c>
      <c r="N1255" s="44">
        <v>896676</v>
      </c>
      <c r="O1255" s="44" t="s">
        <v>1077</v>
      </c>
      <c r="P1255" s="25">
        <f t="shared" si="39"/>
        <v>-6.2524207381176033E-3</v>
      </c>
    </row>
    <row r="1256" spans="2:16">
      <c r="B1256" s="44">
        <v>408.25345589402758</v>
      </c>
      <c r="C1256" s="44">
        <v>409.22103849739653</v>
      </c>
      <c r="D1256" s="44">
        <v>407.75069238443388</v>
      </c>
      <c r="E1256" s="44">
        <v>409.07874693807759</v>
      </c>
      <c r="F1256" s="44">
        <v>3968811.6617941982</v>
      </c>
      <c r="G1256" s="44" t="s">
        <v>1078</v>
      </c>
      <c r="H1256" s="25">
        <f t="shared" si="40"/>
        <v>-2.0174380855207952E-3</v>
      </c>
      <c r="J1256" s="44">
        <v>361.42</v>
      </c>
      <c r="K1256" s="44">
        <v>364.22</v>
      </c>
      <c r="L1256" s="44">
        <v>358</v>
      </c>
      <c r="M1256" s="44">
        <v>361.12</v>
      </c>
      <c r="N1256" s="44">
        <v>1449220</v>
      </c>
      <c r="O1256" s="44" t="s">
        <v>1078</v>
      </c>
      <c r="P1256" s="25">
        <f t="shared" si="39"/>
        <v>8.3074878156841336E-4</v>
      </c>
    </row>
    <row r="1257" spans="2:16">
      <c r="B1257" s="44">
        <v>409.24001070530579</v>
      </c>
      <c r="C1257" s="44">
        <v>410.35937097194824</v>
      </c>
      <c r="D1257" s="44">
        <v>407.40169861994423</v>
      </c>
      <c r="E1257" s="44">
        <v>407.44713705788672</v>
      </c>
      <c r="F1257" s="44">
        <v>3443982.9203184191</v>
      </c>
      <c r="G1257" s="44" t="s">
        <v>1079</v>
      </c>
      <c r="H1257" s="25">
        <f t="shared" si="40"/>
        <v>4.4002607561930418E-3</v>
      </c>
      <c r="J1257" s="44">
        <v>361.12</v>
      </c>
      <c r="K1257" s="44">
        <v>362.82</v>
      </c>
      <c r="L1257" s="44">
        <v>351.86</v>
      </c>
      <c r="M1257" s="44">
        <v>351.86</v>
      </c>
      <c r="N1257" s="44">
        <v>1182221</v>
      </c>
      <c r="O1257" s="44" t="s">
        <v>1079</v>
      </c>
      <c r="P1257" s="25">
        <f t="shared" si="39"/>
        <v>2.6317285283919745E-2</v>
      </c>
    </row>
    <row r="1258" spans="2:16">
      <c r="B1258" s="44">
        <v>407.68428965675167</v>
      </c>
      <c r="C1258" s="44">
        <v>408.85582349514453</v>
      </c>
      <c r="D1258" s="44">
        <v>406.62184601383672</v>
      </c>
      <c r="E1258" s="44">
        <v>408.80364992339423</v>
      </c>
      <c r="F1258" s="44">
        <v>3291431.3557428918</v>
      </c>
      <c r="G1258" s="44" t="s">
        <v>1080</v>
      </c>
      <c r="H1258" s="25">
        <f t="shared" si="40"/>
        <v>-2.7381366747882829E-3</v>
      </c>
      <c r="J1258" s="44">
        <v>353.56</v>
      </c>
      <c r="K1258" s="44">
        <v>357.18860000000001</v>
      </c>
      <c r="L1258" s="44">
        <v>351.73</v>
      </c>
      <c r="M1258" s="44">
        <v>355.51</v>
      </c>
      <c r="N1258" s="44">
        <v>878392</v>
      </c>
      <c r="O1258" s="44" t="s">
        <v>1080</v>
      </c>
      <c r="P1258" s="25">
        <f t="shared" si="39"/>
        <v>-5.4850777755899305E-3</v>
      </c>
    </row>
    <row r="1259" spans="2:16">
      <c r="B1259" s="44">
        <v>407.49456757765972</v>
      </c>
      <c r="C1259" s="44">
        <v>408.06373381493563</v>
      </c>
      <c r="D1259" s="44">
        <v>404.80051405455396</v>
      </c>
      <c r="E1259" s="44">
        <v>405.68272172233156</v>
      </c>
      <c r="F1259" s="44">
        <v>3853526.1868263707</v>
      </c>
      <c r="G1259" s="44" t="s">
        <v>1081</v>
      </c>
      <c r="H1259" s="25">
        <f t="shared" si="40"/>
        <v>4.4661647102837154E-3</v>
      </c>
      <c r="J1259" s="44">
        <v>354.93</v>
      </c>
      <c r="K1259" s="44">
        <v>356.66500000000002</v>
      </c>
      <c r="L1259" s="44">
        <v>350.47</v>
      </c>
      <c r="M1259" s="44">
        <v>353.68</v>
      </c>
      <c r="N1259" s="44">
        <v>928160</v>
      </c>
      <c r="O1259" s="44" t="s">
        <v>1081</v>
      </c>
      <c r="P1259" s="25">
        <f t="shared" si="39"/>
        <v>3.5342682650982837E-3</v>
      </c>
    </row>
    <row r="1260" spans="2:16">
      <c r="B1260" s="44">
        <v>404.4874726240522</v>
      </c>
      <c r="C1260" s="44">
        <v>405.83449938560511</v>
      </c>
      <c r="D1260" s="44">
        <v>404.4779865200976</v>
      </c>
      <c r="E1260" s="44">
        <v>405.72066613814991</v>
      </c>
      <c r="F1260" s="44">
        <v>3831531.9096185109</v>
      </c>
      <c r="G1260" s="44" t="s">
        <v>1082</v>
      </c>
      <c r="H1260" s="25">
        <f t="shared" si="40"/>
        <v>-3.0395136778115228E-3</v>
      </c>
      <c r="J1260" s="44">
        <v>350.79</v>
      </c>
      <c r="K1260" s="44">
        <v>360.26</v>
      </c>
      <c r="L1260" s="44">
        <v>348.65</v>
      </c>
      <c r="M1260" s="44">
        <v>360</v>
      </c>
      <c r="N1260" s="44">
        <v>1376730</v>
      </c>
      <c r="O1260" s="44" t="s">
        <v>1082</v>
      </c>
      <c r="P1260" s="25">
        <f t="shared" ref="P1260:P1323" si="41">J1260/M1260-1</f>
        <v>-2.5583333333333291E-2</v>
      </c>
    </row>
    <row r="1261" spans="2:16">
      <c r="B1261" s="44">
        <v>404.35466716868785</v>
      </c>
      <c r="C1261" s="44">
        <v>407.64634524093333</v>
      </c>
      <c r="D1261" s="44">
        <v>402.97918209527114</v>
      </c>
      <c r="E1261" s="44">
        <v>406.09062419237921</v>
      </c>
      <c r="F1261" s="44">
        <v>6694695.7680364456</v>
      </c>
      <c r="G1261" s="44" t="s">
        <v>1083</v>
      </c>
      <c r="H1261" s="25">
        <f t="shared" si="40"/>
        <v>-4.27480202761088E-3</v>
      </c>
      <c r="J1261" s="44">
        <v>359.49</v>
      </c>
      <c r="K1261" s="44">
        <v>367.48</v>
      </c>
      <c r="L1261" s="44">
        <v>357.89</v>
      </c>
      <c r="M1261" s="44">
        <v>363</v>
      </c>
      <c r="N1261" s="44">
        <v>1082148</v>
      </c>
      <c r="O1261" s="44" t="s">
        <v>1083</v>
      </c>
      <c r="P1261" s="25">
        <f t="shared" si="41"/>
        <v>-9.6694214876033024E-3</v>
      </c>
    </row>
    <row r="1262" spans="2:16">
      <c r="B1262" s="44">
        <v>407.63685913697873</v>
      </c>
      <c r="C1262" s="44">
        <v>409.56253823976209</v>
      </c>
      <c r="D1262" s="44">
        <v>406.32777679124416</v>
      </c>
      <c r="E1262" s="44">
        <v>409.38230226462474</v>
      </c>
      <c r="F1262" s="44">
        <v>4950424.3496339405</v>
      </c>
      <c r="G1262" s="44" t="s">
        <v>1084</v>
      </c>
      <c r="H1262" s="25">
        <f t="shared" si="40"/>
        <v>-4.2636018166651857E-3</v>
      </c>
      <c r="J1262" s="44">
        <v>364.15</v>
      </c>
      <c r="K1262" s="44">
        <v>366.79</v>
      </c>
      <c r="L1262" s="44">
        <v>362.57</v>
      </c>
      <c r="M1262" s="44">
        <v>365</v>
      </c>
      <c r="N1262" s="44">
        <v>1123847</v>
      </c>
      <c r="O1262" s="44" t="s">
        <v>1084</v>
      </c>
      <c r="P1262" s="25">
        <f t="shared" si="41"/>
        <v>-2.3287671232877782E-3</v>
      </c>
    </row>
    <row r="1263" spans="2:16">
      <c r="B1263" s="44">
        <v>409.06926083412299</v>
      </c>
      <c r="C1263" s="44">
        <v>410.12221837308334</v>
      </c>
      <c r="D1263" s="44">
        <v>408.37677524543733</v>
      </c>
      <c r="E1263" s="44">
        <v>409.68585759117184</v>
      </c>
      <c r="F1263" s="44">
        <v>3701846.4237870253</v>
      </c>
      <c r="G1263" s="44" t="s">
        <v>1085</v>
      </c>
      <c r="H1263" s="25">
        <f t="shared" si="40"/>
        <v>-1.5050476984347361E-3</v>
      </c>
      <c r="J1263" s="44">
        <v>365.42</v>
      </c>
      <c r="K1263" s="44">
        <v>368.14</v>
      </c>
      <c r="L1263" s="44">
        <v>361.97</v>
      </c>
      <c r="M1263" s="44">
        <v>366.02</v>
      </c>
      <c r="N1263" s="44">
        <v>908151</v>
      </c>
      <c r="O1263" s="44" t="s">
        <v>1085</v>
      </c>
      <c r="P1263" s="25">
        <f t="shared" si="41"/>
        <v>-1.6392546855361623E-3</v>
      </c>
    </row>
    <row r="1264" spans="2:16">
      <c r="B1264" s="44">
        <v>408.57598342848388</v>
      </c>
      <c r="C1264" s="44">
        <v>410.52063473917644</v>
      </c>
      <c r="D1264" s="44">
        <v>407.23844277088563</v>
      </c>
      <c r="E1264" s="44">
        <v>409.37281616067014</v>
      </c>
      <c r="F1264" s="44">
        <v>5210709.2897755932</v>
      </c>
      <c r="G1264" s="44" t="s">
        <v>1086</v>
      </c>
      <c r="H1264" s="25">
        <f t="shared" si="40"/>
        <v>-1.946472019464851E-3</v>
      </c>
      <c r="J1264" s="44">
        <v>364.95</v>
      </c>
      <c r="K1264" s="44">
        <v>369.69</v>
      </c>
      <c r="L1264" s="44">
        <v>359.49</v>
      </c>
      <c r="M1264" s="44">
        <v>363.42</v>
      </c>
      <c r="N1264" s="44">
        <v>1575465</v>
      </c>
      <c r="O1264" s="44" t="s">
        <v>1086</v>
      </c>
      <c r="P1264" s="25">
        <f t="shared" si="41"/>
        <v>4.2100049529469885E-3</v>
      </c>
    </row>
    <row r="1265" spans="2:16">
      <c r="B1265" s="44">
        <v>407.19101225111262</v>
      </c>
      <c r="C1265" s="44">
        <v>407.30484549856777</v>
      </c>
      <c r="D1265" s="44">
        <v>405.56888847487642</v>
      </c>
      <c r="E1265" s="44">
        <v>405.86295769746891</v>
      </c>
      <c r="F1265" s="44">
        <v>4519541.4477004372</v>
      </c>
      <c r="G1265" s="44" t="s">
        <v>1087</v>
      </c>
      <c r="H1265" s="25">
        <f t="shared" si="40"/>
        <v>3.2721748276265394E-3</v>
      </c>
      <c r="J1265" s="44">
        <v>363.32</v>
      </c>
      <c r="K1265" s="44">
        <v>364.4</v>
      </c>
      <c r="L1265" s="44">
        <v>359.01</v>
      </c>
      <c r="M1265" s="44">
        <v>361.49</v>
      </c>
      <c r="N1265" s="44">
        <v>1067764</v>
      </c>
      <c r="O1265" s="44" t="s">
        <v>1087</v>
      </c>
      <c r="P1265" s="25">
        <f t="shared" si="41"/>
        <v>5.0623807020939715E-3</v>
      </c>
    </row>
    <row r="1266" spans="2:16">
      <c r="B1266" s="44">
        <v>405.29379146019306</v>
      </c>
      <c r="C1266" s="44">
        <v>405.68272172233156</v>
      </c>
      <c r="D1266" s="44">
        <v>401.91673845235619</v>
      </c>
      <c r="E1266" s="44">
        <v>402.34361313031309</v>
      </c>
      <c r="F1266" s="44">
        <v>3755925.5275429306</v>
      </c>
      <c r="G1266" s="44" t="s">
        <v>1088</v>
      </c>
      <c r="H1266" s="25">
        <f t="shared" si="40"/>
        <v>7.3324845569859853E-3</v>
      </c>
      <c r="J1266" s="44">
        <v>361.49</v>
      </c>
      <c r="K1266" s="44">
        <v>362.92</v>
      </c>
      <c r="L1266" s="44">
        <v>353.96</v>
      </c>
      <c r="M1266" s="44">
        <v>360.29</v>
      </c>
      <c r="N1266" s="44">
        <v>1410210</v>
      </c>
      <c r="O1266" s="44" t="s">
        <v>1088</v>
      </c>
      <c r="P1266" s="25">
        <f t="shared" si="41"/>
        <v>3.3306503094729933E-3</v>
      </c>
    </row>
    <row r="1267" spans="2:16">
      <c r="B1267" s="44">
        <v>402.86534884781599</v>
      </c>
      <c r="C1267" s="44">
        <v>403.12147365459009</v>
      </c>
      <c r="D1267" s="44">
        <v>401.27168338344353</v>
      </c>
      <c r="E1267" s="44">
        <v>401.40448883880788</v>
      </c>
      <c r="F1267" s="44">
        <v>3151150.3714347859</v>
      </c>
      <c r="G1267" s="44" t="s">
        <v>1089</v>
      </c>
      <c r="H1267" s="25">
        <f t="shared" si="40"/>
        <v>3.6393713813069883E-3</v>
      </c>
      <c r="J1267" s="44">
        <v>360.37</v>
      </c>
      <c r="K1267" s="44">
        <v>361.5</v>
      </c>
      <c r="L1267" s="44">
        <v>354.55</v>
      </c>
      <c r="M1267" s="44">
        <v>356.58</v>
      </c>
      <c r="N1267" s="44">
        <v>1046622</v>
      </c>
      <c r="O1267" s="44" t="s">
        <v>1089</v>
      </c>
      <c r="P1267" s="25">
        <f t="shared" si="41"/>
        <v>1.0628750911436446E-2</v>
      </c>
    </row>
    <row r="1268" spans="2:16">
      <c r="B1268" s="44">
        <v>401.30962779926193</v>
      </c>
      <c r="C1268" s="44">
        <v>401.80290520490104</v>
      </c>
      <c r="D1268" s="44">
        <v>399.63058739929812</v>
      </c>
      <c r="E1268" s="44">
        <v>401.44243325462634</v>
      </c>
      <c r="F1268" s="44">
        <v>4150613.3802082269</v>
      </c>
      <c r="G1268" s="44" t="s">
        <v>1090</v>
      </c>
      <c r="H1268" s="25">
        <f t="shared" si="40"/>
        <v>-3.3082067156608996E-4</v>
      </c>
      <c r="J1268" s="44">
        <v>355.03</v>
      </c>
      <c r="K1268" s="44">
        <v>365.52</v>
      </c>
      <c r="L1268" s="44">
        <v>354.53</v>
      </c>
      <c r="M1268" s="44">
        <v>361.69</v>
      </c>
      <c r="N1268" s="44">
        <v>1812543</v>
      </c>
      <c r="O1268" s="44" t="s">
        <v>1090</v>
      </c>
      <c r="P1268" s="25">
        <f t="shared" si="41"/>
        <v>-1.8413558572258126E-2</v>
      </c>
    </row>
    <row r="1269" spans="2:16">
      <c r="B1269" s="44">
        <v>400.46536454730278</v>
      </c>
      <c r="C1269" s="44">
        <v>400.80212123769093</v>
      </c>
      <c r="D1269" s="44">
        <v>397.34443634624006</v>
      </c>
      <c r="E1269" s="44">
        <v>397.61004725696876</v>
      </c>
      <c r="F1269" s="44">
        <v>4888983.9518911447</v>
      </c>
      <c r="G1269" s="44" t="s">
        <v>1091</v>
      </c>
      <c r="H1269" s="25">
        <f t="shared" si="40"/>
        <v>7.18120004771583E-3</v>
      </c>
      <c r="J1269" s="44">
        <v>361.13</v>
      </c>
      <c r="K1269" s="44">
        <v>362.67</v>
      </c>
      <c r="L1269" s="44">
        <v>352.92</v>
      </c>
      <c r="M1269" s="44">
        <v>353.85</v>
      </c>
      <c r="N1269" s="44">
        <v>1558746</v>
      </c>
      <c r="O1269" s="44" t="s">
        <v>1091</v>
      </c>
      <c r="P1269" s="25">
        <f t="shared" si="41"/>
        <v>2.0573689416419239E-2</v>
      </c>
    </row>
    <row r="1270" spans="2:16">
      <c r="B1270" s="44">
        <v>399.75390675070793</v>
      </c>
      <c r="C1270" s="44">
        <v>399.78236506257167</v>
      </c>
      <c r="D1270" s="44">
        <v>397.23060309878485</v>
      </c>
      <c r="E1270" s="44">
        <v>397.25906141064866</v>
      </c>
      <c r="F1270" s="44">
        <v>3840945.6795315761</v>
      </c>
      <c r="G1270" s="44" t="s">
        <v>1092</v>
      </c>
      <c r="H1270" s="25">
        <f t="shared" si="40"/>
        <v>6.2801470939395365E-3</v>
      </c>
      <c r="J1270" s="44">
        <v>355.61</v>
      </c>
      <c r="K1270" s="44">
        <v>356.63</v>
      </c>
      <c r="L1270" s="44">
        <v>349.24</v>
      </c>
      <c r="M1270" s="44">
        <v>349.24</v>
      </c>
      <c r="N1270" s="44">
        <v>1371941</v>
      </c>
      <c r="O1270" s="44" t="s">
        <v>1092</v>
      </c>
      <c r="P1270" s="25">
        <f t="shared" si="41"/>
        <v>1.8239606001603459E-2</v>
      </c>
    </row>
    <row r="1271" spans="2:16">
      <c r="B1271" s="44">
        <v>395.88357633723194</v>
      </c>
      <c r="C1271" s="44">
        <v>398.69146310779297</v>
      </c>
      <c r="D1271" s="44">
        <v>395.83614581745894</v>
      </c>
      <c r="E1271" s="44">
        <v>398.09383855865332</v>
      </c>
      <c r="F1271" s="44">
        <v>3029182.4902543137</v>
      </c>
      <c r="G1271" s="44" t="s">
        <v>1093</v>
      </c>
      <c r="H1271" s="25">
        <f t="shared" si="40"/>
        <v>-5.5521136157844486E-3</v>
      </c>
      <c r="J1271" s="44">
        <v>348.98</v>
      </c>
      <c r="K1271" s="44">
        <v>350.63</v>
      </c>
      <c r="L1271" s="44">
        <v>340.85</v>
      </c>
      <c r="M1271" s="44">
        <v>348.69</v>
      </c>
      <c r="N1271" s="44">
        <v>1684174</v>
      </c>
      <c r="O1271" s="44" t="s">
        <v>1093</v>
      </c>
      <c r="P1271" s="25">
        <f t="shared" si="41"/>
        <v>8.3168430410962557E-4</v>
      </c>
    </row>
    <row r="1272" spans="2:16">
      <c r="B1272" s="44">
        <v>397.61004725696876</v>
      </c>
      <c r="C1272" s="44">
        <v>399.86717083192582</v>
      </c>
      <c r="D1272" s="44">
        <v>397.33495024228546</v>
      </c>
      <c r="E1272" s="44">
        <v>398.67249089988371</v>
      </c>
      <c r="F1272" s="44">
        <v>3252400.5795915779</v>
      </c>
      <c r="G1272" s="44" t="s">
        <v>1094</v>
      </c>
      <c r="H1272" s="25">
        <f t="shared" si="40"/>
        <v>-2.6649534822852372E-3</v>
      </c>
      <c r="J1272" s="44">
        <v>348.7</v>
      </c>
      <c r="K1272" s="44">
        <v>351.19</v>
      </c>
      <c r="L1272" s="44">
        <v>343.59</v>
      </c>
      <c r="M1272" s="44">
        <v>346.71</v>
      </c>
      <c r="N1272" s="44">
        <v>1737021</v>
      </c>
      <c r="O1272" s="44" t="s">
        <v>1094</v>
      </c>
      <c r="P1272" s="25">
        <f t="shared" si="41"/>
        <v>5.7396671569900359E-3</v>
      </c>
    </row>
    <row r="1273" spans="2:16">
      <c r="B1273" s="44">
        <v>397.23060309878485</v>
      </c>
      <c r="C1273" s="44">
        <v>397.60056115301416</v>
      </c>
      <c r="D1273" s="44">
        <v>394.55552178358829</v>
      </c>
      <c r="E1273" s="44">
        <v>396.1776455598245</v>
      </c>
      <c r="F1273" s="44">
        <v>2647520.0061271843</v>
      </c>
      <c r="G1273" s="44" t="s">
        <v>1095</v>
      </c>
      <c r="H1273" s="25">
        <f t="shared" si="40"/>
        <v>2.6577913992913427E-3</v>
      </c>
      <c r="J1273" s="44">
        <v>343.59</v>
      </c>
      <c r="K1273" s="44">
        <v>347.09</v>
      </c>
      <c r="L1273" s="44">
        <v>336.76</v>
      </c>
      <c r="M1273" s="44">
        <v>340.19</v>
      </c>
      <c r="N1273" s="44">
        <v>1938376</v>
      </c>
      <c r="O1273" s="44" t="s">
        <v>1095</v>
      </c>
      <c r="P1273" s="25">
        <f t="shared" si="41"/>
        <v>9.9944148857991078E-3</v>
      </c>
    </row>
    <row r="1274" spans="2:16">
      <c r="B1274" s="44">
        <v>395.18160464459169</v>
      </c>
      <c r="C1274" s="44">
        <v>396.51914530219005</v>
      </c>
      <c r="D1274" s="44">
        <v>393.38873099717273</v>
      </c>
      <c r="E1274" s="44">
        <v>395.17211854063714</v>
      </c>
      <c r="F1274" s="44">
        <v>3846526.4743714156</v>
      </c>
      <c r="G1274" s="44" t="s">
        <v>1096</v>
      </c>
      <c r="H1274" s="25">
        <f t="shared" si="40"/>
        <v>2.4004993038451161E-5</v>
      </c>
      <c r="J1274" s="44">
        <v>341.52</v>
      </c>
      <c r="K1274" s="44">
        <v>342.82</v>
      </c>
      <c r="L1274" s="44">
        <v>337.64</v>
      </c>
      <c r="M1274" s="44">
        <v>339.75</v>
      </c>
      <c r="N1274" s="44">
        <v>1318992</v>
      </c>
      <c r="O1274" s="44" t="s">
        <v>1096</v>
      </c>
      <c r="P1274" s="25">
        <f t="shared" si="41"/>
        <v>5.2097130242825251E-3</v>
      </c>
    </row>
    <row r="1275" spans="2:16">
      <c r="B1275" s="44">
        <v>395.58002101068485</v>
      </c>
      <c r="C1275" s="44">
        <v>395.7982014016406</v>
      </c>
      <c r="D1275" s="44">
        <v>393.62104568302084</v>
      </c>
      <c r="E1275" s="44">
        <v>394.03378606608538</v>
      </c>
      <c r="F1275" s="44">
        <v>2719187.9957732898</v>
      </c>
      <c r="G1275" s="44" t="s">
        <v>1097</v>
      </c>
      <c r="H1275" s="25">
        <f t="shared" si="40"/>
        <v>3.9241176753816998E-3</v>
      </c>
      <c r="J1275" s="44">
        <v>339.63</v>
      </c>
      <c r="K1275" s="44">
        <v>343.26</v>
      </c>
      <c r="L1275" s="44">
        <v>337.44</v>
      </c>
      <c r="M1275" s="44">
        <v>342.22</v>
      </c>
      <c r="N1275" s="44">
        <v>1338068</v>
      </c>
      <c r="O1275" s="44" t="s">
        <v>1097</v>
      </c>
      <c r="P1275" s="25">
        <f t="shared" si="41"/>
        <v>-7.56823096253878E-3</v>
      </c>
    </row>
    <row r="1276" spans="2:16">
      <c r="B1276" s="44">
        <v>394.61243840731589</v>
      </c>
      <c r="C1276" s="44">
        <v>394.83061879827164</v>
      </c>
      <c r="D1276" s="44">
        <v>393.34130047739973</v>
      </c>
      <c r="E1276" s="44">
        <v>393.42667541299113</v>
      </c>
      <c r="F1276" s="44">
        <v>3381953.2395541896</v>
      </c>
      <c r="G1276" s="44" t="s">
        <v>1098</v>
      </c>
      <c r="H1276" s="25">
        <f t="shared" si="40"/>
        <v>3.0139364421084558E-3</v>
      </c>
      <c r="J1276" s="44">
        <v>339.8</v>
      </c>
      <c r="K1276" s="44">
        <v>341.9</v>
      </c>
      <c r="L1276" s="44">
        <v>327.38650000000001</v>
      </c>
      <c r="M1276" s="44">
        <v>338</v>
      </c>
      <c r="N1276" s="44">
        <v>2458224</v>
      </c>
      <c r="O1276" s="44" t="s">
        <v>1098</v>
      </c>
      <c r="P1276" s="25">
        <f t="shared" si="41"/>
        <v>5.3254437869822979E-3</v>
      </c>
    </row>
    <row r="1277" spans="2:16">
      <c r="B1277" s="44">
        <v>393.08517567062563</v>
      </c>
      <c r="C1277" s="44">
        <v>393.08517567062563</v>
      </c>
      <c r="D1277" s="44">
        <v>390.96028838479566</v>
      </c>
      <c r="E1277" s="44">
        <v>391.52945462207157</v>
      </c>
      <c r="F1277" s="44">
        <v>2992020.7638293006</v>
      </c>
      <c r="G1277" s="44" t="s">
        <v>1099</v>
      </c>
      <c r="H1277" s="25">
        <f t="shared" si="40"/>
        <v>3.9734457527742517E-3</v>
      </c>
      <c r="J1277" s="44">
        <v>336.3</v>
      </c>
      <c r="K1277" s="44">
        <v>345.16</v>
      </c>
      <c r="L1277" s="44">
        <v>332.17</v>
      </c>
      <c r="M1277" s="44">
        <v>338.11</v>
      </c>
      <c r="N1277" s="44">
        <v>3642534</v>
      </c>
      <c r="O1277" s="44" t="s">
        <v>1099</v>
      </c>
      <c r="P1277" s="25">
        <f t="shared" si="41"/>
        <v>-5.3532873916772861E-3</v>
      </c>
    </row>
    <row r="1278" spans="2:16">
      <c r="B1278" s="44">
        <v>390.04962240515431</v>
      </c>
      <c r="C1278" s="44">
        <v>390.31523331588301</v>
      </c>
      <c r="D1278" s="44">
        <v>386.58719446172609</v>
      </c>
      <c r="E1278" s="44">
        <v>387.22276342668414</v>
      </c>
      <c r="F1278" s="44">
        <v>3587004.7558890074</v>
      </c>
      <c r="G1278" s="44" t="s">
        <v>1100</v>
      </c>
      <c r="H1278" s="25">
        <f t="shared" si="40"/>
        <v>7.3003429691327337E-3</v>
      </c>
      <c r="J1278" s="44">
        <v>332.3</v>
      </c>
      <c r="K1278" s="44">
        <v>332.38</v>
      </c>
      <c r="L1278" s="44">
        <v>323.04480000000001</v>
      </c>
      <c r="M1278" s="44">
        <v>330.33</v>
      </c>
      <c r="N1278" s="44">
        <v>1530614</v>
      </c>
      <c r="O1278" s="44" t="s">
        <v>1100</v>
      </c>
      <c r="P1278" s="25">
        <f t="shared" si="41"/>
        <v>5.9637332364605999E-3</v>
      </c>
    </row>
    <row r="1279" spans="2:16">
      <c r="B1279" s="44">
        <v>388.86385941082955</v>
      </c>
      <c r="C1279" s="44">
        <v>389.1769008413313</v>
      </c>
      <c r="D1279" s="44">
        <v>387.29390920634359</v>
      </c>
      <c r="E1279" s="44">
        <v>387.9057629114152</v>
      </c>
      <c r="F1279" s="44">
        <v>3691314.1757241548</v>
      </c>
      <c r="G1279" s="44" t="s">
        <v>1101</v>
      </c>
      <c r="H1279" s="25">
        <f t="shared" si="40"/>
        <v>2.4699207668981149E-3</v>
      </c>
      <c r="J1279" s="44">
        <v>331.5</v>
      </c>
      <c r="K1279" s="44">
        <v>333.45</v>
      </c>
      <c r="L1279" s="44">
        <v>330</v>
      </c>
      <c r="M1279" s="44">
        <v>332.2</v>
      </c>
      <c r="N1279" s="44">
        <v>1387247</v>
      </c>
      <c r="O1279" s="44" t="s">
        <v>1101</v>
      </c>
      <c r="P1279" s="25">
        <f t="shared" si="41"/>
        <v>-2.1071643588199684E-3</v>
      </c>
    </row>
    <row r="1280" spans="2:16">
      <c r="B1280" s="44">
        <v>385.85676445722203</v>
      </c>
      <c r="C1280" s="44">
        <v>386.03700043235938</v>
      </c>
      <c r="D1280" s="44">
        <v>382.49868365729446</v>
      </c>
      <c r="E1280" s="44">
        <v>382.95401664711511</v>
      </c>
      <c r="F1280" s="44">
        <v>3993620.5824139151</v>
      </c>
      <c r="G1280" s="44" t="s">
        <v>1102</v>
      </c>
      <c r="H1280" s="25">
        <f t="shared" si="40"/>
        <v>7.5798860540003954E-3</v>
      </c>
      <c r="J1280" s="44">
        <v>330.95</v>
      </c>
      <c r="K1280" s="44">
        <v>332.78</v>
      </c>
      <c r="L1280" s="44">
        <v>328.32</v>
      </c>
      <c r="M1280" s="44">
        <v>328.39</v>
      </c>
      <c r="N1280" s="44">
        <v>1432563</v>
      </c>
      <c r="O1280" s="44" t="s">
        <v>1102</v>
      </c>
      <c r="P1280" s="25">
        <f t="shared" si="41"/>
        <v>7.7956088796857781E-3</v>
      </c>
    </row>
    <row r="1281" spans="2:16">
      <c r="B1281" s="44">
        <v>379.48210259973234</v>
      </c>
      <c r="C1281" s="44">
        <v>380.27893533191849</v>
      </c>
      <c r="D1281" s="44">
        <v>376.36117439866962</v>
      </c>
      <c r="E1281" s="44">
        <v>379.10265844154839</v>
      </c>
      <c r="F1281" s="44">
        <v>6844077.4327095561</v>
      </c>
      <c r="G1281" s="44" t="s">
        <v>1103</v>
      </c>
      <c r="H1281" s="25">
        <f t="shared" si="40"/>
        <v>1.0009008107296768E-3</v>
      </c>
      <c r="J1281" s="44">
        <v>326</v>
      </c>
      <c r="K1281" s="44">
        <v>328.72</v>
      </c>
      <c r="L1281" s="44">
        <v>325.14</v>
      </c>
      <c r="M1281" s="44">
        <v>325.67</v>
      </c>
      <c r="N1281" s="44">
        <v>1867136</v>
      </c>
      <c r="O1281" s="44" t="s">
        <v>1103</v>
      </c>
      <c r="P1281" s="25">
        <f t="shared" si="41"/>
        <v>1.0132956673933879E-3</v>
      </c>
    </row>
    <row r="1282" spans="2:16">
      <c r="B1282" s="44">
        <v>378.26788129354378</v>
      </c>
      <c r="C1282" s="44">
        <v>380.31687974773695</v>
      </c>
      <c r="D1282" s="44">
        <v>377.42361804158458</v>
      </c>
      <c r="E1282" s="44">
        <v>379.96589390141679</v>
      </c>
      <c r="F1282" s="44">
        <v>6537208.5628413241</v>
      </c>
      <c r="G1282" s="44" t="s">
        <v>1104</v>
      </c>
      <c r="H1282" s="25">
        <f t="shared" ref="H1282:H1345" si="42">B1282/E1282-1</f>
        <v>-4.4688553239295992E-3</v>
      </c>
      <c r="J1282" s="44">
        <v>324.45</v>
      </c>
      <c r="K1282" s="44">
        <v>329.1</v>
      </c>
      <c r="L1282" s="44">
        <v>321.88</v>
      </c>
      <c r="M1282" s="44">
        <v>328</v>
      </c>
      <c r="N1282" s="44">
        <v>1277058</v>
      </c>
      <c r="O1282" s="44" t="s">
        <v>1104</v>
      </c>
      <c r="P1282" s="25">
        <f t="shared" si="41"/>
        <v>-1.0823170731707354E-2</v>
      </c>
    </row>
    <row r="1283" spans="2:16">
      <c r="B1283" s="44">
        <v>379.02676960991158</v>
      </c>
      <c r="C1283" s="44">
        <v>383.94057145839326</v>
      </c>
      <c r="D1283" s="44">
        <v>379.02676960991158</v>
      </c>
      <c r="E1283" s="44">
        <v>381.2560040392421</v>
      </c>
      <c r="F1283" s="44">
        <v>3895879.7180466633</v>
      </c>
      <c r="G1283" s="44" t="s">
        <v>1105</v>
      </c>
      <c r="H1283" s="25">
        <f t="shared" si="42"/>
        <v>-5.8470801920829096E-3</v>
      </c>
      <c r="J1283" s="44">
        <v>324.18</v>
      </c>
      <c r="K1283" s="44">
        <v>329.21</v>
      </c>
      <c r="L1283" s="44">
        <v>323.83999999999997</v>
      </c>
      <c r="M1283" s="44">
        <v>326.5</v>
      </c>
      <c r="N1283" s="44">
        <v>979371</v>
      </c>
      <c r="O1283" s="44" t="s">
        <v>1105</v>
      </c>
      <c r="P1283" s="25">
        <f t="shared" si="41"/>
        <v>-7.1056661562021173E-3</v>
      </c>
    </row>
    <row r="1284" spans="2:16">
      <c r="B1284" s="44">
        <v>381.80619806860875</v>
      </c>
      <c r="C1284" s="44">
        <v>383.606755460231</v>
      </c>
      <c r="D1284" s="44">
        <v>381.2844623511059</v>
      </c>
      <c r="E1284" s="44">
        <v>383.27654418157147</v>
      </c>
      <c r="F1284" s="44">
        <v>4175496.092977318</v>
      </c>
      <c r="G1284" s="44" t="s">
        <v>1106</v>
      </c>
      <c r="H1284" s="25">
        <f t="shared" si="42"/>
        <v>-3.8362538362539667E-3</v>
      </c>
      <c r="J1284" s="44">
        <v>328.54</v>
      </c>
      <c r="K1284" s="44">
        <v>342.1</v>
      </c>
      <c r="L1284" s="44">
        <v>328.01</v>
      </c>
      <c r="M1284" s="44">
        <v>339.69</v>
      </c>
      <c r="N1284" s="44">
        <v>1368137</v>
      </c>
      <c r="O1284" s="44" t="s">
        <v>1106</v>
      </c>
      <c r="P1284" s="25">
        <f t="shared" si="41"/>
        <v>-3.2824045453207273E-2</v>
      </c>
    </row>
    <row r="1285" spans="2:16">
      <c r="B1285" s="44">
        <v>382.52714196915821</v>
      </c>
      <c r="C1285" s="44">
        <v>385.18325107644563</v>
      </c>
      <c r="D1285" s="44">
        <v>382.14769781097431</v>
      </c>
      <c r="E1285" s="44">
        <v>382.35639209797546</v>
      </c>
      <c r="F1285" s="44">
        <v>4648056.8008775553</v>
      </c>
      <c r="G1285" s="44" t="s">
        <v>1107</v>
      </c>
      <c r="H1285" s="25">
        <f t="shared" si="42"/>
        <v>4.4657255563551601E-4</v>
      </c>
      <c r="J1285" s="44">
        <v>338.34</v>
      </c>
      <c r="K1285" s="44">
        <v>346.84</v>
      </c>
      <c r="L1285" s="44">
        <v>337.85</v>
      </c>
      <c r="M1285" s="44">
        <v>341.36</v>
      </c>
      <c r="N1285" s="44">
        <v>1906609</v>
      </c>
      <c r="O1285" s="44" t="s">
        <v>1107</v>
      </c>
      <c r="P1285" s="25">
        <f t="shared" si="41"/>
        <v>-8.8469650808531419E-3</v>
      </c>
    </row>
    <row r="1286" spans="2:16">
      <c r="B1286" s="44">
        <v>379.26392220877653</v>
      </c>
      <c r="C1286" s="44">
        <v>379.46313039182309</v>
      </c>
      <c r="D1286" s="44">
        <v>372.86080203942299</v>
      </c>
      <c r="E1286" s="44">
        <v>374.36909256820405</v>
      </c>
      <c r="F1286" s="44">
        <v>6946952.1223261496</v>
      </c>
      <c r="G1286" s="44" t="s">
        <v>1108</v>
      </c>
      <c r="H1286" s="25">
        <f t="shared" si="42"/>
        <v>1.3074876472823904E-2</v>
      </c>
      <c r="J1286" s="44">
        <v>334.94</v>
      </c>
      <c r="K1286" s="44">
        <v>335.38</v>
      </c>
      <c r="L1286" s="44">
        <v>327.5</v>
      </c>
      <c r="M1286" s="44">
        <v>329.54</v>
      </c>
      <c r="N1286" s="44">
        <v>1850937</v>
      </c>
      <c r="O1286" s="44" t="s">
        <v>1108</v>
      </c>
      <c r="P1286" s="25">
        <f t="shared" si="41"/>
        <v>1.6386478121017012E-2</v>
      </c>
    </row>
    <row r="1287" spans="2:16">
      <c r="B1287" s="44">
        <v>377.58488180881272</v>
      </c>
      <c r="C1287" s="44">
        <v>379.77863820935301</v>
      </c>
      <c r="D1287" s="44">
        <v>374.50189802356846</v>
      </c>
      <c r="E1287" s="44">
        <v>375.23232802807246</v>
      </c>
      <c r="F1287" s="44">
        <v>5822457.8039996307</v>
      </c>
      <c r="G1287" s="44" t="s">
        <v>1109</v>
      </c>
      <c r="H1287" s="25">
        <f t="shared" si="42"/>
        <v>6.2695924764890609E-3</v>
      </c>
      <c r="J1287" s="44">
        <v>330.07</v>
      </c>
      <c r="K1287" s="44">
        <v>335.08</v>
      </c>
      <c r="L1287" s="44">
        <v>323.60000000000002</v>
      </c>
      <c r="M1287" s="44">
        <v>325.93</v>
      </c>
      <c r="N1287" s="44">
        <v>1478158</v>
      </c>
      <c r="O1287" s="44" t="s">
        <v>1109</v>
      </c>
      <c r="P1287" s="25">
        <f t="shared" si="41"/>
        <v>1.2702113950848304E-2</v>
      </c>
    </row>
    <row r="1288" spans="2:16">
      <c r="B1288" s="44">
        <v>373.95170399420175</v>
      </c>
      <c r="C1288" s="44">
        <v>378.43863116472653</v>
      </c>
      <c r="D1288" s="44">
        <v>371.81733060441724</v>
      </c>
      <c r="E1288" s="44">
        <v>377.66077064044953</v>
      </c>
      <c r="F1288" s="44">
        <v>9298260.9533019103</v>
      </c>
      <c r="G1288" s="44" t="s">
        <v>1110</v>
      </c>
      <c r="H1288" s="25">
        <f t="shared" si="42"/>
        <v>-9.8211594494123089E-3</v>
      </c>
      <c r="J1288" s="44">
        <v>323.5</v>
      </c>
      <c r="K1288" s="44">
        <v>333.71597000000003</v>
      </c>
      <c r="L1288" s="44">
        <v>321.05333999999999</v>
      </c>
      <c r="M1288" s="44">
        <v>333.35333000000003</v>
      </c>
      <c r="N1288" s="44">
        <v>702929</v>
      </c>
      <c r="O1288" s="44" t="s">
        <v>1110</v>
      </c>
      <c r="P1288" s="25">
        <f t="shared" si="41"/>
        <v>-2.9558216802574089E-2</v>
      </c>
    </row>
    <row r="1289" spans="2:16">
      <c r="B1289" s="44">
        <v>378.60938103590928</v>
      </c>
      <c r="C1289" s="44">
        <v>380.25047702005475</v>
      </c>
      <c r="D1289" s="44">
        <v>372.58570502473964</v>
      </c>
      <c r="E1289" s="44">
        <v>375.86429227352778</v>
      </c>
      <c r="F1289" s="44">
        <v>8941706.7750862446</v>
      </c>
      <c r="G1289" s="44" t="s">
        <v>1111</v>
      </c>
      <c r="H1289" s="25">
        <f t="shared" si="42"/>
        <v>7.3034039647048576E-3</v>
      </c>
      <c r="J1289" s="44">
        <v>336.5</v>
      </c>
      <c r="K1289" s="44">
        <v>340.52</v>
      </c>
      <c r="L1289" s="44">
        <v>325.33334000000002</v>
      </c>
      <c r="M1289" s="44">
        <v>331.33334000000002</v>
      </c>
      <c r="N1289" s="44">
        <v>750396</v>
      </c>
      <c r="O1289" s="44" t="s">
        <v>1111</v>
      </c>
      <c r="P1289" s="25">
        <f t="shared" si="41"/>
        <v>1.5593540933731553E-2</v>
      </c>
    </row>
    <row r="1290" spans="2:16">
      <c r="B1290" s="44">
        <v>374.1319399693391</v>
      </c>
      <c r="C1290" s="44">
        <v>380.88604598501274</v>
      </c>
      <c r="D1290" s="44">
        <v>374.0750233456115</v>
      </c>
      <c r="E1290" s="44">
        <v>380.25047702005475</v>
      </c>
      <c r="F1290" s="44">
        <v>10026408.149775768</v>
      </c>
      <c r="G1290" s="44" t="s">
        <v>1112</v>
      </c>
      <c r="H1290" s="25">
        <f t="shared" si="42"/>
        <v>-1.6090807035050614E-2</v>
      </c>
      <c r="J1290" s="44">
        <v>331.38333</v>
      </c>
      <c r="K1290" s="44">
        <v>336.76666</v>
      </c>
      <c r="L1290" s="44">
        <v>331.11</v>
      </c>
      <c r="M1290" s="44">
        <v>332.49</v>
      </c>
      <c r="N1290" s="44">
        <v>460108</v>
      </c>
      <c r="O1290" s="44" t="s">
        <v>1112</v>
      </c>
      <c r="P1290" s="25">
        <f t="shared" si="41"/>
        <v>-3.3284309302535897E-3</v>
      </c>
    </row>
    <row r="1291" spans="2:16">
      <c r="B1291" s="44">
        <v>378.93190857036558</v>
      </c>
      <c r="C1291" s="44">
        <v>381.14217079178695</v>
      </c>
      <c r="D1291" s="44">
        <v>378.36274233308978</v>
      </c>
      <c r="E1291" s="44">
        <v>379.53901922345989</v>
      </c>
      <c r="F1291" s="44">
        <v>4980090.9020296261</v>
      </c>
      <c r="G1291" s="44" t="s">
        <v>1113</v>
      </c>
      <c r="H1291" s="25">
        <f t="shared" si="42"/>
        <v>-1.5996000999751736E-3</v>
      </c>
      <c r="J1291" s="44">
        <v>330.78332999999998</v>
      </c>
      <c r="K1291" s="44">
        <v>334.67833999999999</v>
      </c>
      <c r="L1291" s="44">
        <v>329.67</v>
      </c>
      <c r="M1291" s="44">
        <v>331.96667000000002</v>
      </c>
      <c r="N1291" s="44">
        <v>457216</v>
      </c>
      <c r="O1291" s="44" t="s">
        <v>1113</v>
      </c>
      <c r="P1291" s="25">
        <f t="shared" si="41"/>
        <v>-3.564634967721414E-3</v>
      </c>
    </row>
    <row r="1292" spans="2:16">
      <c r="B1292" s="44">
        <v>378.33580179785884</v>
      </c>
      <c r="C1292" s="44">
        <v>383.753565941163</v>
      </c>
      <c r="D1292" s="44">
        <v>377.56993985089957</v>
      </c>
      <c r="E1292" s="44">
        <v>383.45100319668529</v>
      </c>
      <c r="F1292" s="44">
        <v>8708867.5922360122</v>
      </c>
      <c r="G1292" s="44" t="s">
        <v>1114</v>
      </c>
      <c r="H1292" s="25">
        <f t="shared" si="42"/>
        <v>-1.3339908765873543E-2</v>
      </c>
      <c r="J1292" s="44">
        <v>330.83</v>
      </c>
      <c r="K1292" s="44">
        <v>335.57666</v>
      </c>
      <c r="L1292" s="44">
        <v>326.17667</v>
      </c>
      <c r="M1292" s="44">
        <v>335.17667</v>
      </c>
      <c r="N1292" s="44">
        <v>684952</v>
      </c>
      <c r="O1292" s="44" t="s">
        <v>1114</v>
      </c>
      <c r="P1292" s="25">
        <f t="shared" si="41"/>
        <v>-1.2968295197872903E-2</v>
      </c>
    </row>
    <row r="1293" spans="2:16">
      <c r="B1293" s="44">
        <v>386.05115178204068</v>
      </c>
      <c r="C1293" s="44">
        <v>387.25194767418662</v>
      </c>
      <c r="D1293" s="44">
        <v>385.37984069273074</v>
      </c>
      <c r="E1293" s="44">
        <v>386.16536921808103</v>
      </c>
      <c r="F1293" s="44">
        <v>3750997.175673665</v>
      </c>
      <c r="G1293" s="44" t="s">
        <v>1115</v>
      </c>
      <c r="H1293" s="25">
        <f t="shared" si="42"/>
        <v>-2.9577337882891186E-4</v>
      </c>
      <c r="J1293" s="44">
        <v>337.91665999999998</v>
      </c>
      <c r="K1293" s="44">
        <v>346.66332999999997</v>
      </c>
      <c r="L1293" s="44">
        <v>334.33334000000002</v>
      </c>
      <c r="M1293" s="44">
        <v>346.63</v>
      </c>
      <c r="N1293" s="44">
        <v>636502</v>
      </c>
      <c r="O1293" s="44" t="s">
        <v>1115</v>
      </c>
      <c r="P1293" s="25">
        <f t="shared" si="41"/>
        <v>-2.5137293367567759E-2</v>
      </c>
    </row>
    <row r="1294" spans="2:16">
      <c r="B1294" s="44">
        <v>387.1479417307724</v>
      </c>
      <c r="C1294" s="44">
        <v>387.78143247702263</v>
      </c>
      <c r="D1294" s="44">
        <v>384.77471520377532</v>
      </c>
      <c r="E1294" s="44">
        <v>384.98272709060376</v>
      </c>
      <c r="F1294" s="44">
        <v>3614655.7365741208</v>
      </c>
      <c r="G1294" s="44" t="s">
        <v>1116</v>
      </c>
      <c r="H1294" s="25">
        <f t="shared" si="42"/>
        <v>5.624186457744873E-3</v>
      </c>
      <c r="J1294" s="44">
        <v>347.77667000000002</v>
      </c>
      <c r="K1294" s="44">
        <v>348.65667999999999</v>
      </c>
      <c r="L1294" s="44">
        <v>343.49</v>
      </c>
      <c r="M1294" s="44">
        <v>346.86</v>
      </c>
      <c r="N1294" s="44">
        <v>494986</v>
      </c>
      <c r="O1294" s="44" t="s">
        <v>1116</v>
      </c>
      <c r="P1294" s="25">
        <f t="shared" si="41"/>
        <v>2.6427665340482687E-3</v>
      </c>
    </row>
    <row r="1295" spans="2:16">
      <c r="B1295" s="44">
        <v>386.50499589875722</v>
      </c>
      <c r="C1295" s="44">
        <v>387.96107910655627</v>
      </c>
      <c r="D1295" s="44">
        <v>383.37536251056588</v>
      </c>
      <c r="E1295" s="44">
        <v>383.60228456892412</v>
      </c>
      <c r="F1295" s="44">
        <v>4334220.8647124665</v>
      </c>
      <c r="G1295" s="44" t="s">
        <v>1117</v>
      </c>
      <c r="H1295" s="25">
        <f t="shared" si="42"/>
        <v>7.5669813413521414E-3</v>
      </c>
      <c r="J1295" s="44">
        <v>348.28</v>
      </c>
      <c r="K1295" s="44">
        <v>350.63333</v>
      </c>
      <c r="L1295" s="44">
        <v>343.51</v>
      </c>
      <c r="M1295" s="44">
        <v>343.75</v>
      </c>
      <c r="N1295" s="44">
        <v>638723</v>
      </c>
      <c r="O1295" s="44" t="s">
        <v>1117</v>
      </c>
      <c r="P1295" s="25">
        <f t="shared" si="41"/>
        <v>1.3178181818181756E-2</v>
      </c>
    </row>
    <row r="1296" spans="2:16">
      <c r="B1296" s="44">
        <v>381.89091404547202</v>
      </c>
      <c r="C1296" s="44">
        <v>383.73465576963315</v>
      </c>
      <c r="D1296" s="44">
        <v>379.39477140353085</v>
      </c>
      <c r="E1296" s="44">
        <v>380.25518420813938</v>
      </c>
      <c r="F1296" s="44">
        <v>6350839.2724190718</v>
      </c>
      <c r="G1296" s="44" t="s">
        <v>1118</v>
      </c>
      <c r="H1296" s="25">
        <f t="shared" si="42"/>
        <v>4.3016634756445349E-3</v>
      </c>
      <c r="J1296" s="44">
        <v>342.82333</v>
      </c>
      <c r="K1296" s="44">
        <v>345.77334999999999</v>
      </c>
      <c r="L1296" s="44">
        <v>338.33334000000002</v>
      </c>
      <c r="M1296" s="44">
        <v>340</v>
      </c>
      <c r="N1296" s="44">
        <v>526115</v>
      </c>
      <c r="O1296" s="44" t="s">
        <v>1118</v>
      </c>
      <c r="P1296" s="25">
        <f t="shared" si="41"/>
        <v>8.3039117647059069E-3</v>
      </c>
    </row>
    <row r="1297" spans="2:16">
      <c r="B1297" s="44">
        <v>378.24125094020957</v>
      </c>
      <c r="C1297" s="44">
        <v>381.89091404547202</v>
      </c>
      <c r="D1297" s="44">
        <v>377.67394579431379</v>
      </c>
      <c r="E1297" s="44">
        <v>380.71848341062088</v>
      </c>
      <c r="F1297" s="44">
        <v>6788012.461829179</v>
      </c>
      <c r="G1297" s="44" t="s">
        <v>1119</v>
      </c>
      <c r="H1297" s="25">
        <f t="shared" si="42"/>
        <v>-6.506730243878156E-3</v>
      </c>
      <c r="J1297" s="44">
        <v>338.01334000000003</v>
      </c>
      <c r="K1297" s="44">
        <v>343.20666999999997</v>
      </c>
      <c r="L1297" s="44">
        <v>337.66665999999998</v>
      </c>
      <c r="M1297" s="44">
        <v>340.28665000000001</v>
      </c>
      <c r="N1297" s="44">
        <v>637926</v>
      </c>
      <c r="O1297" s="44" t="s">
        <v>1119</v>
      </c>
      <c r="P1297" s="25">
        <f t="shared" si="41"/>
        <v>-6.6805735693715729E-3</v>
      </c>
    </row>
    <row r="1298" spans="2:16">
      <c r="B1298" s="44">
        <v>378.60999928504179</v>
      </c>
      <c r="C1298" s="44">
        <v>380.69957323909102</v>
      </c>
      <c r="D1298" s="44">
        <v>374.01482760328639</v>
      </c>
      <c r="E1298" s="44">
        <v>379.25294511705692</v>
      </c>
      <c r="F1298" s="44">
        <v>11573387.351587355</v>
      </c>
      <c r="G1298" s="44" t="s">
        <v>1120</v>
      </c>
      <c r="H1298" s="25">
        <f t="shared" si="42"/>
        <v>-1.6952955548352744E-3</v>
      </c>
      <c r="J1298" s="44">
        <v>337.99666999999999</v>
      </c>
      <c r="K1298" s="44">
        <v>343.95666999999997</v>
      </c>
      <c r="L1298" s="44">
        <v>333.35</v>
      </c>
      <c r="M1298" s="44">
        <v>341.46667000000002</v>
      </c>
      <c r="N1298" s="44">
        <v>662518</v>
      </c>
      <c r="O1298" s="44" t="s">
        <v>1120</v>
      </c>
      <c r="P1298" s="25">
        <f t="shared" si="41"/>
        <v>-1.0162045976551792E-2</v>
      </c>
    </row>
    <row r="1299" spans="2:16">
      <c r="B1299" s="44">
        <v>384.89763131871933</v>
      </c>
      <c r="C1299" s="44">
        <v>388.39601305174301</v>
      </c>
      <c r="D1299" s="44">
        <v>384.60452366000658</v>
      </c>
      <c r="E1299" s="44">
        <v>387.98944436385108</v>
      </c>
      <c r="F1299" s="44">
        <v>5707082.023534311</v>
      </c>
      <c r="G1299" s="44" t="s">
        <v>1121</v>
      </c>
      <c r="H1299" s="25">
        <f t="shared" si="42"/>
        <v>-7.9688071158767748E-3</v>
      </c>
      <c r="J1299" s="44">
        <v>345.75664999999998</v>
      </c>
      <c r="K1299" s="44">
        <v>346.82</v>
      </c>
      <c r="L1299" s="44">
        <v>342.67667</v>
      </c>
      <c r="M1299" s="44">
        <v>345.09667999999999</v>
      </c>
      <c r="N1299" s="44">
        <v>635359</v>
      </c>
      <c r="O1299" s="44" t="s">
        <v>1121</v>
      </c>
      <c r="P1299" s="25">
        <f t="shared" si="41"/>
        <v>1.912420600511E-3</v>
      </c>
    </row>
    <row r="1300" spans="2:16">
      <c r="B1300" s="44">
        <v>388.70803088198568</v>
      </c>
      <c r="C1300" s="44">
        <v>389.72918014459799</v>
      </c>
      <c r="D1300" s="44">
        <v>385.98496618168622</v>
      </c>
      <c r="E1300" s="44">
        <v>388.85931225422451</v>
      </c>
      <c r="F1300" s="44">
        <v>3544652.1410007086</v>
      </c>
      <c r="G1300" s="44" t="s">
        <v>1122</v>
      </c>
      <c r="H1300" s="25">
        <f t="shared" si="42"/>
        <v>-3.8903883093821534E-4</v>
      </c>
      <c r="J1300" s="44">
        <v>344.67</v>
      </c>
      <c r="K1300" s="44">
        <v>349.14166</v>
      </c>
      <c r="L1300" s="44">
        <v>342.92</v>
      </c>
      <c r="M1300" s="44">
        <v>348.52667000000002</v>
      </c>
      <c r="N1300" s="44">
        <v>513478</v>
      </c>
      <c r="O1300" s="44" t="s">
        <v>1122</v>
      </c>
      <c r="P1300" s="25">
        <f t="shared" si="41"/>
        <v>-1.1065638104538755E-2</v>
      </c>
    </row>
    <row r="1301" spans="2:16">
      <c r="B1301" s="44">
        <v>389.37934197129562</v>
      </c>
      <c r="C1301" s="44">
        <v>389.79328562608418</v>
      </c>
      <c r="D1301" s="44">
        <v>385.48384663614496</v>
      </c>
      <c r="E1301" s="44">
        <v>386.51445098452223</v>
      </c>
      <c r="F1301" s="44">
        <v>4115653.8361969325</v>
      </c>
      <c r="G1301" s="44" t="s">
        <v>1123</v>
      </c>
      <c r="H1301" s="25">
        <f t="shared" si="42"/>
        <v>7.412118691748848E-3</v>
      </c>
      <c r="J1301" s="44">
        <v>348.50664999999998</v>
      </c>
      <c r="K1301" s="44">
        <v>348.98665999999997</v>
      </c>
      <c r="L1301" s="44">
        <v>343.70666999999997</v>
      </c>
      <c r="M1301" s="44">
        <v>346.66665999999998</v>
      </c>
      <c r="N1301" s="44">
        <v>536113</v>
      </c>
      <c r="O1301" s="44" t="s">
        <v>1123</v>
      </c>
      <c r="P1301" s="25">
        <f t="shared" si="41"/>
        <v>5.3076635636088998E-3</v>
      </c>
    </row>
    <row r="1302" spans="2:16">
      <c r="B1302" s="44">
        <v>386.1551577254549</v>
      </c>
      <c r="C1302" s="44">
        <v>389.71972505883303</v>
      </c>
      <c r="D1302" s="44">
        <v>385.28528983508147</v>
      </c>
      <c r="E1302" s="44">
        <v>389.56844368659415</v>
      </c>
      <c r="F1302" s="44">
        <v>3868465.1741258577</v>
      </c>
      <c r="G1302" s="44" t="s">
        <v>1124</v>
      </c>
      <c r="H1302" s="25">
        <f t="shared" si="42"/>
        <v>-8.7617105965729358E-3</v>
      </c>
      <c r="J1302" s="44">
        <v>346.33667000000003</v>
      </c>
      <c r="K1302" s="44">
        <v>348.95666999999997</v>
      </c>
      <c r="L1302" s="44">
        <v>342.66</v>
      </c>
      <c r="M1302" s="44">
        <v>344.52334999999999</v>
      </c>
      <c r="N1302" s="44">
        <v>550395</v>
      </c>
      <c r="O1302" s="44" t="s">
        <v>1124</v>
      </c>
      <c r="P1302" s="25">
        <f t="shared" si="41"/>
        <v>5.2632717056768641E-3</v>
      </c>
    </row>
    <row r="1303" spans="2:16">
      <c r="B1303" s="44">
        <v>388.16909099338477</v>
      </c>
      <c r="C1303" s="44">
        <v>390.22084460437424</v>
      </c>
      <c r="D1303" s="44">
        <v>386.06060686780563</v>
      </c>
      <c r="E1303" s="44">
        <v>390.0411979748406</v>
      </c>
      <c r="F1303" s="44">
        <v>5011419.3755657682</v>
      </c>
      <c r="G1303" s="44" t="s">
        <v>1125</v>
      </c>
      <c r="H1303" s="25">
        <f t="shared" si="42"/>
        <v>-4.7997672840103256E-3</v>
      </c>
      <c r="J1303" s="44">
        <v>342.60665999999998</v>
      </c>
      <c r="K1303" s="44">
        <v>344.19333</v>
      </c>
      <c r="L1303" s="44">
        <v>337.00002999999998</v>
      </c>
      <c r="M1303" s="44">
        <v>343.81</v>
      </c>
      <c r="N1303" s="44">
        <v>635713</v>
      </c>
      <c r="O1303" s="44" t="s">
        <v>1125</v>
      </c>
      <c r="P1303" s="25">
        <f t="shared" si="41"/>
        <v>-3.5000145429162632E-3</v>
      </c>
    </row>
    <row r="1304" spans="2:16">
      <c r="B1304" s="44">
        <v>387.26140275995152</v>
      </c>
      <c r="C1304" s="44">
        <v>392.48061010219226</v>
      </c>
      <c r="D1304" s="44">
        <v>387.10539384483025</v>
      </c>
      <c r="E1304" s="44">
        <v>392.09295158583018</v>
      </c>
      <c r="F1304" s="44">
        <v>4268082.9136089934</v>
      </c>
      <c r="G1304" s="44" t="s">
        <v>1126</v>
      </c>
      <c r="H1304" s="25">
        <f t="shared" si="42"/>
        <v>-1.2322457739516457E-2</v>
      </c>
      <c r="J1304" s="44">
        <v>341.15667999999999</v>
      </c>
      <c r="K1304" s="44">
        <v>360.68167</v>
      </c>
      <c r="L1304" s="44">
        <v>337.66665999999998</v>
      </c>
      <c r="M1304" s="44">
        <v>359.55</v>
      </c>
      <c r="N1304" s="44">
        <v>1143665</v>
      </c>
      <c r="O1304" s="44" t="s">
        <v>1126</v>
      </c>
      <c r="P1304" s="25">
        <f t="shared" si="41"/>
        <v>-5.1156501182033187E-2</v>
      </c>
    </row>
    <row r="1305" spans="2:16">
      <c r="B1305" s="44">
        <v>390.2775751189638</v>
      </c>
      <c r="C1305" s="44">
        <v>393.39775342139029</v>
      </c>
      <c r="D1305" s="44">
        <v>390.08847340366526</v>
      </c>
      <c r="E1305" s="44">
        <v>391.7620235840576</v>
      </c>
      <c r="F1305" s="44">
        <v>4111891.8396498533</v>
      </c>
      <c r="G1305" s="44" t="s">
        <v>1127</v>
      </c>
      <c r="H1305" s="25">
        <f t="shared" si="42"/>
        <v>-3.7891586619683837E-3</v>
      </c>
      <c r="J1305" s="44">
        <v>356.67</v>
      </c>
      <c r="K1305" s="44">
        <v>361.95330000000001</v>
      </c>
      <c r="L1305" s="44">
        <v>356.55</v>
      </c>
      <c r="M1305" s="44">
        <v>361.05333999999999</v>
      </c>
      <c r="N1305" s="44">
        <v>388008</v>
      </c>
      <c r="O1305" s="44" t="s">
        <v>1127</v>
      </c>
      <c r="P1305" s="25">
        <f t="shared" si="41"/>
        <v>-1.214042224342804E-2</v>
      </c>
    </row>
    <row r="1306" spans="2:16">
      <c r="B1306" s="44">
        <v>392.03622107124056</v>
      </c>
      <c r="C1306" s="44">
        <v>392.63189147443109</v>
      </c>
      <c r="D1306" s="44">
        <v>390.18595533790165</v>
      </c>
      <c r="E1306" s="44">
        <v>391.94167021359129</v>
      </c>
      <c r="F1306" s="44">
        <v>4243857.8557200842</v>
      </c>
      <c r="G1306" s="44" t="s">
        <v>1128</v>
      </c>
      <c r="H1306" s="25">
        <f t="shared" si="42"/>
        <v>2.4123706366241393E-4</v>
      </c>
      <c r="J1306" s="44">
        <v>360.85333000000003</v>
      </c>
      <c r="K1306" s="44">
        <v>362.33667000000003</v>
      </c>
      <c r="L1306" s="44">
        <v>357.46667000000002</v>
      </c>
      <c r="M1306" s="44">
        <v>359.33334000000002</v>
      </c>
      <c r="N1306" s="44">
        <v>349419</v>
      </c>
      <c r="O1306" s="44" t="s">
        <v>1128</v>
      </c>
      <c r="P1306" s="25">
        <f t="shared" si="41"/>
        <v>4.2300277508344752E-3</v>
      </c>
    </row>
    <row r="1307" spans="2:16">
      <c r="B1307" s="44">
        <v>392.41442450183769</v>
      </c>
      <c r="C1307" s="44">
        <v>393.60576530821879</v>
      </c>
      <c r="D1307" s="44">
        <v>391.83766427017707</v>
      </c>
      <c r="E1307" s="44">
        <v>393.58685513668888</v>
      </c>
      <c r="F1307" s="44">
        <v>3746651.3663365976</v>
      </c>
      <c r="G1307" s="44" t="s">
        <v>1129</v>
      </c>
      <c r="H1307" s="25">
        <f t="shared" si="42"/>
        <v>-2.9788358517309765E-3</v>
      </c>
      <c r="J1307" s="44">
        <v>359.38666000000001</v>
      </c>
      <c r="K1307" s="44">
        <v>359.52</v>
      </c>
      <c r="L1307" s="44">
        <v>354.33334000000002</v>
      </c>
      <c r="M1307" s="44">
        <v>357.75333000000001</v>
      </c>
      <c r="N1307" s="44">
        <v>329673</v>
      </c>
      <c r="O1307" s="44" t="s">
        <v>1129</v>
      </c>
      <c r="P1307" s="25">
        <f t="shared" si="41"/>
        <v>4.5655200470111623E-3</v>
      </c>
    </row>
    <row r="1308" spans="2:16">
      <c r="B1308" s="44">
        <v>393.87050770963674</v>
      </c>
      <c r="C1308" s="44">
        <v>394.33314505611474</v>
      </c>
      <c r="D1308" s="44">
        <v>392.53734061678182</v>
      </c>
      <c r="E1308" s="44">
        <v>392.9344542189088</v>
      </c>
      <c r="F1308" s="44">
        <v>3959772.6483745067</v>
      </c>
      <c r="G1308" s="44" t="s">
        <v>1130</v>
      </c>
      <c r="H1308" s="25">
        <f t="shared" si="42"/>
        <v>2.3822128110111418E-3</v>
      </c>
      <c r="J1308" s="44">
        <v>357.25664999999998</v>
      </c>
      <c r="K1308" s="44">
        <v>358.76334000000003</v>
      </c>
      <c r="L1308" s="44">
        <v>352.68331999999998</v>
      </c>
      <c r="M1308" s="44">
        <v>357.10333000000003</v>
      </c>
      <c r="N1308" s="44">
        <v>337728</v>
      </c>
      <c r="O1308" s="44" t="s">
        <v>1130</v>
      </c>
      <c r="P1308" s="25">
        <f t="shared" si="41"/>
        <v>4.2934351802315085E-4</v>
      </c>
    </row>
    <row r="1309" spans="2:16">
      <c r="B1309" s="44">
        <v>394.02178908187562</v>
      </c>
      <c r="C1309" s="44">
        <v>394.69310017118556</v>
      </c>
      <c r="D1309" s="44">
        <v>392.85408598990693</v>
      </c>
      <c r="E1309" s="44">
        <v>394.08797468223014</v>
      </c>
      <c r="F1309" s="44">
        <v>3000420.1659627985</v>
      </c>
      <c r="G1309" s="44" t="s">
        <v>1131</v>
      </c>
      <c r="H1309" s="25">
        <f t="shared" si="42"/>
        <v>-1.6794625719773748E-4</v>
      </c>
      <c r="J1309" s="44">
        <v>357.17667</v>
      </c>
      <c r="K1309" s="44">
        <v>359.02667000000002</v>
      </c>
      <c r="L1309" s="44">
        <v>355.16332999999997</v>
      </c>
      <c r="M1309" s="44">
        <v>355.6</v>
      </c>
      <c r="N1309" s="44">
        <v>403866</v>
      </c>
      <c r="O1309" s="44" t="s">
        <v>1131</v>
      </c>
      <c r="P1309" s="25">
        <f t="shared" si="41"/>
        <v>4.4338301462316654E-3</v>
      </c>
    </row>
    <row r="1310" spans="2:16">
      <c r="B1310" s="44">
        <v>392.84935844702449</v>
      </c>
      <c r="C1310" s="44">
        <v>393.88941788116659</v>
      </c>
      <c r="D1310" s="44">
        <v>392.53734061678182</v>
      </c>
      <c r="E1310" s="44">
        <v>393.37884324986049</v>
      </c>
      <c r="F1310" s="44">
        <v>3444040.6792275566</v>
      </c>
      <c r="G1310" s="44" t="s">
        <v>1132</v>
      </c>
      <c r="H1310" s="25">
        <f t="shared" si="42"/>
        <v>-1.345992068261026E-3</v>
      </c>
      <c r="J1310" s="44">
        <v>354.23665999999997</v>
      </c>
      <c r="K1310" s="44">
        <v>354.78832999999997</v>
      </c>
      <c r="L1310" s="44">
        <v>349.17667</v>
      </c>
      <c r="M1310" s="44">
        <v>351.66665999999998</v>
      </c>
      <c r="N1310" s="44">
        <v>348879</v>
      </c>
      <c r="O1310" s="44" t="s">
        <v>1132</v>
      </c>
      <c r="P1310" s="25">
        <f t="shared" si="41"/>
        <v>7.3080570105792386E-3</v>
      </c>
    </row>
    <row r="1311" spans="2:16">
      <c r="B1311" s="44">
        <v>392.4333346733676</v>
      </c>
      <c r="C1311" s="44">
        <v>393.35047799256569</v>
      </c>
      <c r="D1311" s="44">
        <v>391.9889456424159</v>
      </c>
      <c r="E1311" s="44">
        <v>393.01009490502827</v>
      </c>
      <c r="F1311" s="44">
        <v>6412333.161999288</v>
      </c>
      <c r="G1311" s="44" t="s">
        <v>1133</v>
      </c>
      <c r="H1311" s="25">
        <f t="shared" si="42"/>
        <v>-1.4675455901458356E-3</v>
      </c>
      <c r="J1311" s="44">
        <v>351.18668000000002</v>
      </c>
      <c r="K1311" s="44">
        <v>353.92334</v>
      </c>
      <c r="L1311" s="44">
        <v>347.92334</v>
      </c>
      <c r="M1311" s="44">
        <v>353.04333000000003</v>
      </c>
      <c r="N1311" s="44">
        <v>458992</v>
      </c>
      <c r="O1311" s="44" t="s">
        <v>1133</v>
      </c>
      <c r="P1311" s="25">
        <f t="shared" si="41"/>
        <v>-5.2589861986629405E-3</v>
      </c>
    </row>
    <row r="1312" spans="2:16">
      <c r="B1312" s="44">
        <v>393.10464576267754</v>
      </c>
      <c r="C1312" s="44">
        <v>393.86105262387184</v>
      </c>
      <c r="D1312" s="44">
        <v>391.80929901288226</v>
      </c>
      <c r="E1312" s="44">
        <v>392.06458632853537</v>
      </c>
      <c r="F1312" s="44">
        <v>2973833.4161172886</v>
      </c>
      <c r="G1312" s="44" t="s">
        <v>1134</v>
      </c>
      <c r="H1312" s="25">
        <f t="shared" si="42"/>
        <v>2.6527757680991915E-3</v>
      </c>
      <c r="J1312" s="44">
        <v>352.97</v>
      </c>
      <c r="K1312" s="44">
        <v>353.31668000000002</v>
      </c>
      <c r="L1312" s="44">
        <v>347.05667</v>
      </c>
      <c r="M1312" s="44">
        <v>347.05667</v>
      </c>
      <c r="N1312" s="44">
        <v>296623</v>
      </c>
      <c r="O1312" s="44" t="s">
        <v>1134</v>
      </c>
      <c r="P1312" s="25">
        <f t="shared" si="41"/>
        <v>1.7038514200000909E-2</v>
      </c>
    </row>
    <row r="1313" spans="2:16">
      <c r="B1313" s="44">
        <v>391.30817946734106</v>
      </c>
      <c r="C1313" s="44">
        <v>391.7525684982927</v>
      </c>
      <c r="D1313" s="44">
        <v>388.62293511010131</v>
      </c>
      <c r="E1313" s="44">
        <v>388.68912071045577</v>
      </c>
      <c r="F1313" s="44">
        <v>4105938.4298765869</v>
      </c>
      <c r="G1313" s="44" t="s">
        <v>1135</v>
      </c>
      <c r="H1313" s="25">
        <f t="shared" si="42"/>
        <v>6.7381838526843207E-3</v>
      </c>
      <c r="J1313" s="44">
        <v>345.50664999999998</v>
      </c>
      <c r="K1313" s="44">
        <v>350.05</v>
      </c>
      <c r="L1313" s="44">
        <v>344.67</v>
      </c>
      <c r="M1313" s="44">
        <v>348.51334000000003</v>
      </c>
      <c r="N1313" s="44">
        <v>458206</v>
      </c>
      <c r="O1313" s="44" t="s">
        <v>1135</v>
      </c>
      <c r="P1313" s="25">
        <f t="shared" si="41"/>
        <v>-8.6271876996159014E-3</v>
      </c>
    </row>
    <row r="1314" spans="2:16">
      <c r="B1314" s="44">
        <v>387.866528248907</v>
      </c>
      <c r="C1314" s="44">
        <v>390.17356917554963</v>
      </c>
      <c r="D1314" s="44">
        <v>387.84761807737715</v>
      </c>
      <c r="E1314" s="44">
        <v>389.93719203142643</v>
      </c>
      <c r="F1314" s="44">
        <v>4978866.5243646009</v>
      </c>
      <c r="G1314" s="44" t="s">
        <v>1136</v>
      </c>
      <c r="H1314" s="25">
        <f t="shared" si="42"/>
        <v>-5.3102495089838442E-3</v>
      </c>
      <c r="J1314" s="44">
        <v>347.41665999999998</v>
      </c>
      <c r="K1314" s="44">
        <v>350.02</v>
      </c>
      <c r="L1314" s="44">
        <v>345.3</v>
      </c>
      <c r="M1314" s="44">
        <v>349.37331999999998</v>
      </c>
      <c r="N1314" s="44">
        <v>468452</v>
      </c>
      <c r="O1314" s="44" t="s">
        <v>1136</v>
      </c>
      <c r="P1314" s="25">
        <f t="shared" si="41"/>
        <v>-5.6004848910614635E-3</v>
      </c>
    </row>
    <row r="1315" spans="2:16">
      <c r="B1315" s="44">
        <v>390.14520391825482</v>
      </c>
      <c r="C1315" s="44">
        <v>390.69359889262068</v>
      </c>
      <c r="D1315" s="44">
        <v>389.23751568482169</v>
      </c>
      <c r="E1315" s="44">
        <v>389.60626402965391</v>
      </c>
      <c r="F1315" s="44">
        <v>3449373.2590955277</v>
      </c>
      <c r="G1315" s="44" t="s">
        <v>1137</v>
      </c>
      <c r="H1315" s="25">
        <f t="shared" si="42"/>
        <v>1.3832936950928243E-3</v>
      </c>
      <c r="J1315" s="44">
        <v>347.98665999999997</v>
      </c>
      <c r="K1315" s="44">
        <v>349.99997000000002</v>
      </c>
      <c r="L1315" s="44">
        <v>346.35</v>
      </c>
      <c r="M1315" s="44">
        <v>348.9</v>
      </c>
      <c r="N1315" s="44">
        <v>441622</v>
      </c>
      <c r="O1315" s="44" t="s">
        <v>1137</v>
      </c>
      <c r="P1315" s="25">
        <f t="shared" si="41"/>
        <v>-2.6177701347090965E-3</v>
      </c>
    </row>
    <row r="1316" spans="2:16">
      <c r="B1316" s="44">
        <v>389.42661740012028</v>
      </c>
      <c r="C1316" s="44">
        <v>389.88991660260177</v>
      </c>
      <c r="D1316" s="44">
        <v>388.93495294034398</v>
      </c>
      <c r="E1316" s="44">
        <v>389.45498265741503</v>
      </c>
      <c r="F1316" s="44">
        <v>3179756.4556757431</v>
      </c>
      <c r="G1316" s="44" t="s">
        <v>1138</v>
      </c>
      <c r="H1316" s="25">
        <f t="shared" si="42"/>
        <v>-7.2833211944511866E-5</v>
      </c>
      <c r="J1316" s="44">
        <v>348.89666999999997</v>
      </c>
      <c r="K1316" s="44">
        <v>352.97</v>
      </c>
      <c r="L1316" s="44">
        <v>346.57733000000002</v>
      </c>
      <c r="M1316" s="44">
        <v>350</v>
      </c>
      <c r="N1316" s="44">
        <v>473927</v>
      </c>
      <c r="O1316" s="44" t="s">
        <v>1138</v>
      </c>
      <c r="P1316" s="25">
        <f t="shared" si="41"/>
        <v>-3.1523714285714988E-3</v>
      </c>
    </row>
    <row r="1317" spans="2:16">
      <c r="B1317" s="44">
        <v>388.8120368253999</v>
      </c>
      <c r="C1317" s="44">
        <v>389.62517420118371</v>
      </c>
      <c r="D1317" s="44">
        <v>386.93047475817906</v>
      </c>
      <c r="E1317" s="44">
        <v>386.94938492970891</v>
      </c>
      <c r="F1317" s="44">
        <v>3447243.188517564</v>
      </c>
      <c r="G1317" s="44" t="s">
        <v>1139</v>
      </c>
      <c r="H1317" s="25">
        <f t="shared" si="42"/>
        <v>4.8136835675016698E-3</v>
      </c>
      <c r="J1317" s="44">
        <v>348.67334</v>
      </c>
      <c r="K1317" s="44">
        <v>353.26834000000002</v>
      </c>
      <c r="L1317" s="44">
        <v>344.77749999999997</v>
      </c>
      <c r="M1317" s="44">
        <v>350.57333</v>
      </c>
      <c r="N1317" s="44">
        <v>503612</v>
      </c>
      <c r="O1317" s="44" t="s">
        <v>1139</v>
      </c>
      <c r="P1317" s="25">
        <f t="shared" si="41"/>
        <v>-5.4196649813607056E-3</v>
      </c>
    </row>
    <row r="1318" spans="2:16">
      <c r="B1318" s="44">
        <v>385.39875086426059</v>
      </c>
      <c r="C1318" s="44">
        <v>385.6918585229734</v>
      </c>
      <c r="D1318" s="44">
        <v>382.23129713300943</v>
      </c>
      <c r="E1318" s="44">
        <v>382.62841073513647</v>
      </c>
      <c r="F1318" s="44">
        <v>3451656.6862940504</v>
      </c>
      <c r="G1318" s="44" t="s">
        <v>1140</v>
      </c>
      <c r="H1318" s="25">
        <f t="shared" si="42"/>
        <v>7.2402886231095476E-3</v>
      </c>
      <c r="J1318" s="44">
        <v>347.94</v>
      </c>
      <c r="K1318" s="44">
        <v>353.94324</v>
      </c>
      <c r="L1318" s="44">
        <v>346.97</v>
      </c>
      <c r="M1318" s="44">
        <v>352.12033000000002</v>
      </c>
      <c r="N1318" s="44">
        <v>614010</v>
      </c>
      <c r="O1318" s="44" t="s">
        <v>1140</v>
      </c>
      <c r="P1318" s="25">
        <f t="shared" si="41"/>
        <v>-1.1871879138588892E-2</v>
      </c>
    </row>
    <row r="1319" spans="2:16">
      <c r="B1319" s="44">
        <v>382.37312341948342</v>
      </c>
      <c r="C1319" s="44">
        <v>383.45100319668529</v>
      </c>
      <c r="D1319" s="44">
        <v>379.08369908186467</v>
      </c>
      <c r="E1319" s="44">
        <v>379.23403494552701</v>
      </c>
      <c r="F1319" s="44">
        <v>5823021.7439402482</v>
      </c>
      <c r="G1319" s="44" t="s">
        <v>1141</v>
      </c>
      <c r="H1319" s="25">
        <f t="shared" si="42"/>
        <v>8.2774439651949194E-3</v>
      </c>
      <c r="J1319" s="44">
        <v>351.88</v>
      </c>
      <c r="K1319" s="44">
        <v>352.97662000000003</v>
      </c>
      <c r="L1319" s="44">
        <v>344.23665999999997</v>
      </c>
      <c r="M1319" s="44">
        <v>345.94</v>
      </c>
      <c r="N1319" s="44">
        <v>486682</v>
      </c>
      <c r="O1319" s="44" t="s">
        <v>1141</v>
      </c>
      <c r="P1319" s="25">
        <f t="shared" si="41"/>
        <v>1.7170607619818368E-2</v>
      </c>
    </row>
    <row r="1320" spans="2:16">
      <c r="B1320" s="44">
        <v>381.83418353088246</v>
      </c>
      <c r="C1320" s="44">
        <v>386.47663064146246</v>
      </c>
      <c r="D1320" s="44">
        <v>381.5505309579346</v>
      </c>
      <c r="E1320" s="44">
        <v>385.03000251942842</v>
      </c>
      <c r="F1320" s="44">
        <v>5159421.2059870865</v>
      </c>
      <c r="G1320" s="44" t="s">
        <v>1142</v>
      </c>
      <c r="H1320" s="25">
        <f t="shared" si="42"/>
        <v>-8.3001817199549466E-3</v>
      </c>
      <c r="J1320" s="44">
        <v>346.46</v>
      </c>
      <c r="K1320" s="44">
        <v>349.66665999999998</v>
      </c>
      <c r="L1320" s="44">
        <v>344.34332000000001</v>
      </c>
      <c r="M1320" s="44">
        <v>344.47665000000001</v>
      </c>
      <c r="N1320" s="44">
        <v>417629</v>
      </c>
      <c r="O1320" s="44" t="s">
        <v>1142</v>
      </c>
      <c r="P1320" s="25">
        <f t="shared" si="41"/>
        <v>5.7575745700033654E-3</v>
      </c>
    </row>
    <row r="1321" spans="2:16">
      <c r="B1321" s="44">
        <v>385.98496618168622</v>
      </c>
      <c r="C1321" s="44">
        <v>386.76028321441038</v>
      </c>
      <c r="D1321" s="44">
        <v>383.22408113832699</v>
      </c>
      <c r="E1321" s="44">
        <v>386.1551577254549</v>
      </c>
      <c r="F1321" s="44">
        <v>5485144.3222620878</v>
      </c>
      <c r="G1321" s="44" t="s">
        <v>1143</v>
      </c>
      <c r="H1321" s="25">
        <f t="shared" si="42"/>
        <v>-4.4073357655283196E-4</v>
      </c>
      <c r="J1321" s="44">
        <v>345</v>
      </c>
      <c r="K1321" s="44">
        <v>346.66665999999998</v>
      </c>
      <c r="L1321" s="44">
        <v>337.20339999999999</v>
      </c>
      <c r="M1321" s="44">
        <v>338.64</v>
      </c>
      <c r="N1321" s="44">
        <v>504162</v>
      </c>
      <c r="O1321" s="44" t="s">
        <v>1143</v>
      </c>
      <c r="P1321" s="25">
        <f t="shared" si="41"/>
        <v>1.8781006378455034E-2</v>
      </c>
    </row>
    <row r="1322" spans="2:16">
      <c r="B1322" s="44">
        <v>388.5472944239819</v>
      </c>
      <c r="C1322" s="44">
        <v>388.61348002433635</v>
      </c>
      <c r="D1322" s="44">
        <v>384.96381691907385</v>
      </c>
      <c r="E1322" s="44">
        <v>386.43881029840276</v>
      </c>
      <c r="F1322" s="44">
        <v>3580250.971975727</v>
      </c>
      <c r="G1322" s="44" t="s">
        <v>1144</v>
      </c>
      <c r="H1322" s="25">
        <f t="shared" si="42"/>
        <v>5.4561914315773841E-3</v>
      </c>
      <c r="J1322" s="44">
        <v>339.41332999999997</v>
      </c>
      <c r="K1322" s="44">
        <v>339.68668000000002</v>
      </c>
      <c r="L1322" s="44">
        <v>333.16332999999997</v>
      </c>
      <c r="M1322" s="44">
        <v>334.73665999999997</v>
      </c>
      <c r="N1322" s="44">
        <v>382641</v>
      </c>
      <c r="O1322" s="44" t="s">
        <v>1144</v>
      </c>
      <c r="P1322" s="25">
        <f t="shared" si="41"/>
        <v>1.3971191562943908E-2</v>
      </c>
    </row>
    <row r="1323" spans="2:16">
      <c r="B1323" s="44">
        <v>387.62069601901885</v>
      </c>
      <c r="C1323" s="44">
        <v>387.62069601901885</v>
      </c>
      <c r="D1323" s="44">
        <v>386.8831993293544</v>
      </c>
      <c r="E1323" s="44">
        <v>387.31813327454114</v>
      </c>
      <c r="F1323" s="44">
        <v>2383674.8349336465</v>
      </c>
      <c r="G1323" s="44" t="s">
        <v>1145</v>
      </c>
      <c r="H1323" s="25">
        <f t="shared" si="42"/>
        <v>7.8117371350461262E-4</v>
      </c>
      <c r="J1323" s="44">
        <v>334.34667999999999</v>
      </c>
      <c r="K1323" s="44">
        <v>335.16665999999998</v>
      </c>
      <c r="L1323" s="44">
        <v>332.13333</v>
      </c>
      <c r="M1323" s="44">
        <v>333.89666999999997</v>
      </c>
      <c r="N1323" s="44">
        <v>488429</v>
      </c>
      <c r="O1323" s="44" t="s">
        <v>1145</v>
      </c>
      <c r="P1323" s="25">
        <f t="shared" si="41"/>
        <v>1.3477522851605972E-3</v>
      </c>
    </row>
    <row r="1324" spans="2:16">
      <c r="B1324" s="44">
        <v>386.85483407205959</v>
      </c>
      <c r="C1324" s="44">
        <v>387.02502561582833</v>
      </c>
      <c r="D1324" s="44">
        <v>384.79362537530517</v>
      </c>
      <c r="E1324" s="44">
        <v>385.59730766532408</v>
      </c>
      <c r="F1324" s="44">
        <v>2454185.0361708351</v>
      </c>
      <c r="G1324" s="44" t="s">
        <v>1146</v>
      </c>
      <c r="H1324" s="25">
        <f t="shared" si="42"/>
        <v>3.2612427051148529E-3</v>
      </c>
      <c r="J1324" s="44">
        <v>333.33334000000002</v>
      </c>
      <c r="K1324" s="44">
        <v>337.03665000000001</v>
      </c>
      <c r="L1324" s="44">
        <v>332.16</v>
      </c>
      <c r="M1324" s="44">
        <v>332.92</v>
      </c>
      <c r="N1324" s="44">
        <v>525764</v>
      </c>
      <c r="O1324" s="44" t="s">
        <v>1146</v>
      </c>
      <c r="P1324" s="25">
        <f t="shared" ref="P1324:P1387" si="43">J1324/M1324-1</f>
        <v>1.2415595338219898E-3</v>
      </c>
    </row>
    <row r="1325" spans="2:16">
      <c r="B1325" s="44">
        <v>385.72967886603311</v>
      </c>
      <c r="C1325" s="44">
        <v>385.83368480944733</v>
      </c>
      <c r="D1325" s="44">
        <v>384.73689486071561</v>
      </c>
      <c r="E1325" s="44">
        <v>385.76749920909282</v>
      </c>
      <c r="F1325" s="44">
        <v>3759278.4331838228</v>
      </c>
      <c r="G1325" s="44" t="s">
        <v>1147</v>
      </c>
      <c r="H1325" s="25">
        <f t="shared" si="42"/>
        <v>-9.8039215686296366E-5</v>
      </c>
      <c r="J1325" s="44">
        <v>331.88333</v>
      </c>
      <c r="K1325" s="44">
        <v>335.67334</v>
      </c>
      <c r="L1325" s="44">
        <v>328.89</v>
      </c>
      <c r="M1325" s="44">
        <v>333.17</v>
      </c>
      <c r="N1325" s="44">
        <v>442121</v>
      </c>
      <c r="O1325" s="44" t="s">
        <v>1147</v>
      </c>
      <c r="P1325" s="25">
        <f t="shared" si="43"/>
        <v>-3.8619023321427859E-3</v>
      </c>
    </row>
    <row r="1326" spans="2:16">
      <c r="B1326" s="44">
        <v>384.80308046107012</v>
      </c>
      <c r="C1326" s="44">
        <v>385.45548137885021</v>
      </c>
      <c r="D1326" s="44">
        <v>384.09394902870048</v>
      </c>
      <c r="E1326" s="44">
        <v>384.73689486071561</v>
      </c>
      <c r="F1326" s="44">
        <v>2539088.5494713355</v>
      </c>
      <c r="G1326" s="44" t="s">
        <v>1148</v>
      </c>
      <c r="H1326" s="25">
        <f t="shared" si="42"/>
        <v>1.7202821262696233E-4</v>
      </c>
      <c r="J1326" s="44">
        <v>331.87331999999998</v>
      </c>
      <c r="K1326" s="44">
        <v>345.03332999999998</v>
      </c>
      <c r="L1326" s="44">
        <v>331.46832000000001</v>
      </c>
      <c r="M1326" s="44">
        <v>344.63</v>
      </c>
      <c r="N1326" s="44">
        <v>600333</v>
      </c>
      <c r="O1326" s="44" t="s">
        <v>1148</v>
      </c>
      <c r="P1326" s="25">
        <f t="shared" si="43"/>
        <v>-3.7015581928445007E-2</v>
      </c>
    </row>
    <row r="1327" spans="2:16">
      <c r="B1327" s="44">
        <v>384.32087108705878</v>
      </c>
      <c r="C1327" s="44">
        <v>384.86850965456341</v>
      </c>
      <c r="D1327" s="44">
        <v>383.58337439739427</v>
      </c>
      <c r="E1327" s="44">
        <v>384.58561348847672</v>
      </c>
      <c r="F1327" s="44">
        <v>2098747.7526227967</v>
      </c>
      <c r="G1327" s="44" t="s">
        <v>1149</v>
      </c>
      <c r="H1327" s="25">
        <f t="shared" si="42"/>
        <v>-6.8838352796540825E-4</v>
      </c>
      <c r="J1327" s="44">
        <v>344</v>
      </c>
      <c r="K1327" s="44">
        <v>345.35</v>
      </c>
      <c r="L1327" s="44">
        <v>341.93331999999998</v>
      </c>
      <c r="M1327" s="44">
        <v>344.36333999999999</v>
      </c>
      <c r="N1327" s="44">
        <v>362065</v>
      </c>
      <c r="O1327" s="44" t="s">
        <v>1149</v>
      </c>
      <c r="P1327" s="25">
        <f t="shared" si="43"/>
        <v>-1.0551065046586761E-3</v>
      </c>
    </row>
    <row r="1328" spans="2:16">
      <c r="B1328" s="44">
        <v>384.68961943189095</v>
      </c>
      <c r="C1328" s="44">
        <v>384.99218217636866</v>
      </c>
      <c r="D1328" s="44">
        <v>384.03721851411086</v>
      </c>
      <c r="E1328" s="44">
        <v>384.29250582976391</v>
      </c>
      <c r="F1328" s="44">
        <v>2630249.0128906216</v>
      </c>
      <c r="G1328" s="44" t="s">
        <v>1150</v>
      </c>
      <c r="H1328" s="25">
        <f t="shared" si="42"/>
        <v>1.0333628579863863E-3</v>
      </c>
      <c r="J1328" s="44">
        <v>343.34</v>
      </c>
      <c r="K1328" s="44">
        <v>343.49408</v>
      </c>
      <c r="L1328" s="44">
        <v>335.74666999999999</v>
      </c>
      <c r="M1328" s="44">
        <v>340</v>
      </c>
      <c r="N1328" s="44">
        <v>496422</v>
      </c>
      <c r="O1328" s="44" t="s">
        <v>1150</v>
      </c>
      <c r="P1328" s="25">
        <f t="shared" si="43"/>
        <v>9.8235294117645644E-3</v>
      </c>
    </row>
    <row r="1329" spans="2:16">
      <c r="B1329" s="44">
        <v>384.02776342834596</v>
      </c>
      <c r="C1329" s="44">
        <v>384.05612868564072</v>
      </c>
      <c r="D1329" s="44">
        <v>382.34475816218861</v>
      </c>
      <c r="E1329" s="44">
        <v>382.64732090666632</v>
      </c>
      <c r="F1329" s="44">
        <v>3228766.0587106333</v>
      </c>
      <c r="G1329" s="44" t="s">
        <v>1151</v>
      </c>
      <c r="H1329" s="25">
        <f t="shared" si="42"/>
        <v>3.6076105757352206E-3</v>
      </c>
      <c r="J1329" s="44">
        <v>339.7</v>
      </c>
      <c r="K1329" s="44">
        <v>341.33334000000002</v>
      </c>
      <c r="L1329" s="44">
        <v>332.89334000000002</v>
      </c>
      <c r="M1329" s="44">
        <v>337.33334000000002</v>
      </c>
      <c r="N1329" s="44">
        <v>557350</v>
      </c>
      <c r="O1329" s="44" t="s">
        <v>1151</v>
      </c>
      <c r="P1329" s="25">
        <f t="shared" si="43"/>
        <v>7.0157903751819628E-3</v>
      </c>
    </row>
    <row r="1330" spans="2:16">
      <c r="B1330" s="44">
        <v>381.64508181558386</v>
      </c>
      <c r="C1330" s="44">
        <v>382.79860227890521</v>
      </c>
      <c r="D1330" s="44">
        <v>381.36142924263601</v>
      </c>
      <c r="E1330" s="44">
        <v>382.2785725618341</v>
      </c>
      <c r="F1330" s="44">
        <v>4103840.0882546003</v>
      </c>
      <c r="G1330" s="44" t="s">
        <v>1152</v>
      </c>
      <c r="H1330" s="25">
        <f t="shared" si="42"/>
        <v>-1.6571442704855777E-3</v>
      </c>
      <c r="J1330" s="44">
        <v>330.29333000000003</v>
      </c>
      <c r="K1330" s="44">
        <v>334</v>
      </c>
      <c r="L1330" s="44">
        <v>329.91165000000001</v>
      </c>
      <c r="M1330" s="44">
        <v>333.33334000000002</v>
      </c>
      <c r="N1330" s="44">
        <v>428468</v>
      </c>
      <c r="O1330" s="44" t="s">
        <v>1152</v>
      </c>
      <c r="P1330" s="25">
        <f t="shared" si="43"/>
        <v>-9.1200298175994066E-3</v>
      </c>
    </row>
    <row r="1331" spans="2:16">
      <c r="B1331" s="44">
        <v>383.47936845398004</v>
      </c>
      <c r="C1331" s="44">
        <v>383.55500914009951</v>
      </c>
      <c r="D1331" s="44">
        <v>379.07329848752329</v>
      </c>
      <c r="E1331" s="44">
        <v>381.11559701274786</v>
      </c>
      <c r="F1331" s="44">
        <v>4367626.1671975655</v>
      </c>
      <c r="G1331" s="44" t="s">
        <v>1153</v>
      </c>
      <c r="H1331" s="25">
        <f t="shared" si="42"/>
        <v>6.2022427309715855E-3</v>
      </c>
      <c r="J1331" s="44">
        <v>333.20334000000003</v>
      </c>
      <c r="K1331" s="44">
        <v>333.66665999999998</v>
      </c>
      <c r="L1331" s="44">
        <v>329.68002000000001</v>
      </c>
      <c r="M1331" s="44">
        <v>331.67667</v>
      </c>
      <c r="N1331" s="44">
        <v>325634</v>
      </c>
      <c r="O1331" s="44" t="s">
        <v>1153</v>
      </c>
      <c r="P1331" s="25">
        <f t="shared" si="43"/>
        <v>4.6028862988767294E-3</v>
      </c>
    </row>
    <row r="1332" spans="2:16">
      <c r="B1332" s="44">
        <v>380.40646558037821</v>
      </c>
      <c r="C1332" s="44">
        <v>383.27135656715166</v>
      </c>
      <c r="D1332" s="44">
        <v>380.03771723554598</v>
      </c>
      <c r="E1332" s="44">
        <v>382.72296159278574</v>
      </c>
      <c r="F1332" s="44">
        <v>6149849.0278832708</v>
      </c>
      <c r="G1332" s="44" t="s">
        <v>1154</v>
      </c>
      <c r="H1332" s="25">
        <f t="shared" si="42"/>
        <v>-6.0526705864913932E-3</v>
      </c>
      <c r="J1332" s="44">
        <v>330.85</v>
      </c>
      <c r="K1332" s="44">
        <v>332.89</v>
      </c>
      <c r="L1332" s="44">
        <v>328.67667</v>
      </c>
      <c r="M1332" s="44">
        <v>331.99666999999999</v>
      </c>
      <c r="N1332" s="44">
        <v>311640</v>
      </c>
      <c r="O1332" s="44" t="s">
        <v>1154</v>
      </c>
      <c r="P1332" s="25">
        <f t="shared" si="43"/>
        <v>-3.4538599438360684E-3</v>
      </c>
    </row>
    <row r="1333" spans="2:16">
      <c r="B1333" s="44">
        <v>381.18178261310237</v>
      </c>
      <c r="C1333" s="44">
        <v>382.48658444866254</v>
      </c>
      <c r="D1333" s="44">
        <v>380.53855312851425</v>
      </c>
      <c r="E1333" s="44">
        <v>380.65229781026636</v>
      </c>
      <c r="F1333" s="44">
        <v>5504423.8935459526</v>
      </c>
      <c r="G1333" s="44" t="s">
        <v>1155</v>
      </c>
      <c r="H1333" s="25">
        <f t="shared" si="42"/>
        <v>1.3909933182643108E-3</v>
      </c>
      <c r="J1333" s="44">
        <v>330.48665999999997</v>
      </c>
      <c r="K1333" s="44">
        <v>331.69666000000001</v>
      </c>
      <c r="L1333" s="44">
        <v>325.70666999999997</v>
      </c>
      <c r="M1333" s="44">
        <v>326.37</v>
      </c>
      <c r="N1333" s="44">
        <v>412978</v>
      </c>
      <c r="O1333" s="44" t="s">
        <v>1155</v>
      </c>
      <c r="P1333" s="25">
        <f t="shared" si="43"/>
        <v>1.2613475503262972E-2</v>
      </c>
    </row>
    <row r="1334" spans="2:16">
      <c r="B1334" s="44">
        <v>383.05388959455826</v>
      </c>
      <c r="C1334" s="44">
        <v>383.99939817105115</v>
      </c>
      <c r="D1334" s="44">
        <v>382.31639290489386</v>
      </c>
      <c r="E1334" s="44">
        <v>382.32584799065876</v>
      </c>
      <c r="F1334" s="44">
        <v>2405264.2742126822</v>
      </c>
      <c r="G1334" s="44" t="s">
        <v>1156</v>
      </c>
      <c r="H1334" s="25">
        <f t="shared" si="42"/>
        <v>1.9042437431990855E-3</v>
      </c>
      <c r="J1334" s="44">
        <v>327.16332999999997</v>
      </c>
      <c r="K1334" s="44">
        <v>327.71</v>
      </c>
      <c r="L1334" s="44">
        <v>323.47000000000003</v>
      </c>
      <c r="M1334" s="44">
        <v>324.33334000000002</v>
      </c>
      <c r="N1334" s="44">
        <v>316411</v>
      </c>
      <c r="O1334" s="44" t="s">
        <v>1156</v>
      </c>
      <c r="P1334" s="25">
        <f t="shared" si="43"/>
        <v>8.7255599439759468E-3</v>
      </c>
    </row>
    <row r="1335" spans="2:16">
      <c r="B1335" s="44">
        <v>381.40870467146067</v>
      </c>
      <c r="C1335" s="44">
        <v>382.70405142125588</v>
      </c>
      <c r="D1335" s="44">
        <v>380.13226809319531</v>
      </c>
      <c r="E1335" s="44">
        <v>382.14620136112512</v>
      </c>
      <c r="F1335" s="44">
        <v>3980640.7827209844</v>
      </c>
      <c r="G1335" s="44" t="s">
        <v>1157</v>
      </c>
      <c r="H1335" s="25">
        <f t="shared" si="42"/>
        <v>-1.9298809906722614E-3</v>
      </c>
      <c r="J1335" s="44">
        <v>324.16665999999998</v>
      </c>
      <c r="K1335" s="44">
        <v>326.66665999999998</v>
      </c>
      <c r="L1335" s="44">
        <v>322.98095999999998</v>
      </c>
      <c r="M1335" s="44">
        <v>325.02667000000002</v>
      </c>
      <c r="N1335" s="44">
        <v>323818</v>
      </c>
      <c r="O1335" s="44" t="s">
        <v>1157</v>
      </c>
      <c r="P1335" s="25">
        <f t="shared" si="43"/>
        <v>-2.6459674832223223E-3</v>
      </c>
    </row>
    <row r="1336" spans="2:16">
      <c r="B1336" s="44">
        <v>381.61671655828911</v>
      </c>
      <c r="C1336" s="44">
        <v>382.41094376254313</v>
      </c>
      <c r="D1336" s="44">
        <v>378.95983745834411</v>
      </c>
      <c r="E1336" s="44">
        <v>382.41094376254313</v>
      </c>
      <c r="F1336" s="44">
        <v>3835052.4682176975</v>
      </c>
      <c r="G1336" s="44" t="s">
        <v>1158</v>
      </c>
      <c r="H1336" s="25">
        <f t="shared" si="42"/>
        <v>-2.076894548151853E-3</v>
      </c>
      <c r="J1336" s="44">
        <v>325.02667000000002</v>
      </c>
      <c r="K1336" s="44">
        <v>325.03332999999998</v>
      </c>
      <c r="L1336" s="44">
        <v>320.07333</v>
      </c>
      <c r="M1336" s="44">
        <v>322.54333000000003</v>
      </c>
      <c r="N1336" s="44">
        <v>357657</v>
      </c>
      <c r="O1336" s="44" t="s">
        <v>1158</v>
      </c>
      <c r="P1336" s="25">
        <f t="shared" si="43"/>
        <v>7.6992446255206293E-3</v>
      </c>
    </row>
    <row r="1337" spans="2:16">
      <c r="B1337" s="44">
        <v>383.31863199597632</v>
      </c>
      <c r="C1337" s="44">
        <v>383.32808708174122</v>
      </c>
      <c r="D1337" s="44">
        <v>381.8152733593526</v>
      </c>
      <c r="E1337" s="44">
        <v>381.90982421700193</v>
      </c>
      <c r="F1337" s="44">
        <v>2511168.1258429</v>
      </c>
      <c r="G1337" s="44" t="s">
        <v>1159</v>
      </c>
      <c r="H1337" s="25">
        <f t="shared" si="42"/>
        <v>3.6888492770845716E-3</v>
      </c>
      <c r="J1337" s="44">
        <v>322.03332999999998</v>
      </c>
      <c r="K1337" s="44">
        <v>324.67</v>
      </c>
      <c r="L1337" s="44">
        <v>318.08334000000002</v>
      </c>
      <c r="M1337" s="44">
        <v>323.27667000000002</v>
      </c>
      <c r="N1337" s="44">
        <v>534817</v>
      </c>
      <c r="O1337" s="44" t="s">
        <v>1159</v>
      </c>
      <c r="P1337" s="25">
        <f t="shared" si="43"/>
        <v>-3.8460554546050352E-3</v>
      </c>
    </row>
    <row r="1338" spans="2:16">
      <c r="B1338" s="44">
        <v>382.34475816218861</v>
      </c>
      <c r="C1338" s="44">
        <v>382.69459633549098</v>
      </c>
      <c r="D1338" s="44">
        <v>379.69733414800857</v>
      </c>
      <c r="E1338" s="44">
        <v>380.25518420813938</v>
      </c>
      <c r="F1338" s="44">
        <v>3333601.7021562718</v>
      </c>
      <c r="G1338" s="44" t="s">
        <v>1160</v>
      </c>
      <c r="H1338" s="25">
        <f t="shared" si="42"/>
        <v>5.495188601835066E-3</v>
      </c>
      <c r="J1338" s="44">
        <v>325.48665999999997</v>
      </c>
      <c r="K1338" s="44">
        <v>326.13</v>
      </c>
      <c r="L1338" s="44">
        <v>320.83999999999997</v>
      </c>
      <c r="M1338" s="44">
        <v>323.88</v>
      </c>
      <c r="N1338" s="44">
        <v>439279</v>
      </c>
      <c r="O1338" s="44" t="s">
        <v>1160</v>
      </c>
      <c r="P1338" s="25">
        <f t="shared" si="43"/>
        <v>4.9606644436210878E-3</v>
      </c>
    </row>
    <row r="1339" spans="2:16">
      <c r="B1339" s="44">
        <v>378.56272385621713</v>
      </c>
      <c r="C1339" s="44">
        <v>378.73291539998581</v>
      </c>
      <c r="D1339" s="44">
        <v>376.9742694477091</v>
      </c>
      <c r="E1339" s="44">
        <v>377.92923310996684</v>
      </c>
      <c r="F1339" s="44">
        <v>2724194.2210128764</v>
      </c>
      <c r="G1339" s="44" t="s">
        <v>1161</v>
      </c>
      <c r="H1339" s="25">
        <f t="shared" si="42"/>
        <v>1.6762152560607646E-3</v>
      </c>
      <c r="J1339" s="44">
        <v>324.63</v>
      </c>
      <c r="K1339" s="44">
        <v>325.30667</v>
      </c>
      <c r="L1339" s="44">
        <v>315.44</v>
      </c>
      <c r="M1339" s="44">
        <v>317.07</v>
      </c>
      <c r="N1339" s="44">
        <v>651485</v>
      </c>
      <c r="O1339" s="44" t="s">
        <v>1161</v>
      </c>
      <c r="P1339" s="25">
        <f t="shared" si="43"/>
        <v>2.3843315356230521E-2</v>
      </c>
    </row>
    <row r="1340" spans="2:16">
      <c r="B1340" s="44">
        <v>377.75904156619816</v>
      </c>
      <c r="C1340" s="44">
        <v>377.84413733808253</v>
      </c>
      <c r="D1340" s="44">
        <v>375.62219218332427</v>
      </c>
      <c r="E1340" s="44">
        <v>375.82074898438782</v>
      </c>
      <c r="F1340" s="44">
        <v>3169300.7070492529</v>
      </c>
      <c r="G1340" s="44" t="s">
        <v>1162</v>
      </c>
      <c r="H1340" s="25">
        <f t="shared" si="42"/>
        <v>5.1574922008652546E-3</v>
      </c>
      <c r="J1340" s="44">
        <v>314.98</v>
      </c>
      <c r="K1340" s="44">
        <v>329.09</v>
      </c>
      <c r="L1340" s="44">
        <v>308.83999999999997</v>
      </c>
      <c r="M1340" s="44">
        <v>328.33334000000002</v>
      </c>
      <c r="N1340" s="44">
        <v>847030</v>
      </c>
      <c r="O1340" s="44" t="s">
        <v>1162</v>
      </c>
      <c r="P1340" s="25">
        <f t="shared" si="43"/>
        <v>-4.0670070240201639E-2</v>
      </c>
    </row>
    <row r="1341" spans="2:16">
      <c r="B1341" s="44">
        <v>374.61049800647692</v>
      </c>
      <c r="C1341" s="44">
        <v>375.83965915591762</v>
      </c>
      <c r="D1341" s="44">
        <v>368.75779991798601</v>
      </c>
      <c r="E1341" s="44">
        <v>370.02005386760402</v>
      </c>
      <c r="F1341" s="44">
        <v>4276086.0139384139</v>
      </c>
      <c r="G1341" s="44" t="s">
        <v>1163</v>
      </c>
      <c r="H1341" s="25">
        <f t="shared" si="42"/>
        <v>1.2405933383587309E-2</v>
      </c>
      <c r="J1341" s="44">
        <v>318.35000000000002</v>
      </c>
      <c r="K1341" s="44">
        <v>321.99335000000002</v>
      </c>
      <c r="L1341" s="44">
        <v>309.64334000000002</v>
      </c>
      <c r="M1341" s="44">
        <v>311.64999999999998</v>
      </c>
      <c r="N1341" s="44">
        <v>910877</v>
      </c>
      <c r="O1341" s="44" t="s">
        <v>1163</v>
      </c>
      <c r="P1341" s="25">
        <f t="shared" si="43"/>
        <v>2.1498475854323962E-2</v>
      </c>
    </row>
    <row r="1342" spans="2:16">
      <c r="B1342" s="44">
        <v>369.39129066423624</v>
      </c>
      <c r="C1342" s="44">
        <v>370.88519421509494</v>
      </c>
      <c r="D1342" s="44">
        <v>366.79114207888085</v>
      </c>
      <c r="E1342" s="44">
        <v>370.43135009837835</v>
      </c>
      <c r="F1342" s="44">
        <v>13047164.570159737</v>
      </c>
      <c r="G1342" s="44" t="s">
        <v>1164</v>
      </c>
      <c r="H1342" s="25">
        <f t="shared" si="42"/>
        <v>-2.8076981979681115E-3</v>
      </c>
      <c r="J1342" s="44">
        <v>310.73</v>
      </c>
      <c r="K1342" s="44">
        <v>314.66665999999998</v>
      </c>
      <c r="L1342" s="44">
        <v>308.82666</v>
      </c>
      <c r="M1342" s="44">
        <v>314.66665999999998</v>
      </c>
      <c r="N1342" s="44">
        <v>702095</v>
      </c>
      <c r="O1342" s="44" t="s">
        <v>1164</v>
      </c>
      <c r="P1342" s="25">
        <f t="shared" si="43"/>
        <v>-1.2510572298952694E-2</v>
      </c>
    </row>
    <row r="1343" spans="2:16">
      <c r="B1343" s="44">
        <v>374.998156522839</v>
      </c>
      <c r="C1343" s="44">
        <v>379.03547814446353</v>
      </c>
      <c r="D1343" s="44">
        <v>374.5537674918873</v>
      </c>
      <c r="E1343" s="44">
        <v>378.99765780140382</v>
      </c>
      <c r="F1343" s="44">
        <v>4776849.3192869909</v>
      </c>
      <c r="G1343" s="44" t="s">
        <v>1165</v>
      </c>
      <c r="H1343" s="25">
        <f t="shared" si="42"/>
        <v>-1.0552839038020068E-2</v>
      </c>
      <c r="J1343" s="44">
        <v>316.70334000000003</v>
      </c>
      <c r="K1343" s="44">
        <v>319.63666000000001</v>
      </c>
      <c r="L1343" s="44">
        <v>316.44666000000001</v>
      </c>
      <c r="M1343" s="44">
        <v>318.54665999999997</v>
      </c>
      <c r="N1343" s="44">
        <v>351753</v>
      </c>
      <c r="O1343" s="44" t="s">
        <v>1165</v>
      </c>
      <c r="P1343" s="25">
        <f t="shared" si="43"/>
        <v>-5.7866561840578257E-3</v>
      </c>
    </row>
    <row r="1344" spans="2:16">
      <c r="B1344" s="44">
        <v>377.93868819573186</v>
      </c>
      <c r="C1344" s="44">
        <v>378.56272385621713</v>
      </c>
      <c r="D1344" s="44">
        <v>376.12803927174798</v>
      </c>
      <c r="E1344" s="44">
        <v>377.95759836726171</v>
      </c>
      <c r="F1344" s="44">
        <v>4742310.2354416251</v>
      </c>
      <c r="G1344" s="44" t="s">
        <v>1166</v>
      </c>
      <c r="H1344" s="25">
        <f t="shared" si="42"/>
        <v>-5.0032521138776431E-5</v>
      </c>
      <c r="J1344" s="44">
        <v>317.88666000000001</v>
      </c>
      <c r="K1344" s="44">
        <v>319.64334000000002</v>
      </c>
      <c r="L1344" s="44">
        <v>315.85165000000001</v>
      </c>
      <c r="M1344" s="44">
        <v>317.69</v>
      </c>
      <c r="N1344" s="44">
        <v>461284</v>
      </c>
      <c r="O1344" s="44" t="s">
        <v>1166</v>
      </c>
      <c r="P1344" s="25">
        <f t="shared" si="43"/>
        <v>6.190311309768326E-4</v>
      </c>
    </row>
    <row r="1345" spans="2:16">
      <c r="B1345" s="44">
        <v>379.1583942594076</v>
      </c>
      <c r="C1345" s="44">
        <v>380.63338763873651</v>
      </c>
      <c r="D1345" s="44">
        <v>378.03323905338112</v>
      </c>
      <c r="E1345" s="44">
        <v>380.15117826472516</v>
      </c>
      <c r="F1345" s="44">
        <v>3524252.5375708337</v>
      </c>
      <c r="G1345" s="44" t="s">
        <v>1167</v>
      </c>
      <c r="H1345" s="25">
        <f t="shared" si="42"/>
        <v>-2.6115505148486262E-3</v>
      </c>
      <c r="J1345" s="44">
        <v>318.36</v>
      </c>
      <c r="K1345" s="44">
        <v>321.65167000000002</v>
      </c>
      <c r="L1345" s="44">
        <v>317.39210000000003</v>
      </c>
      <c r="M1345" s="44">
        <v>321.52</v>
      </c>
      <c r="N1345" s="44">
        <v>319432</v>
      </c>
      <c r="O1345" s="44" t="s">
        <v>1167</v>
      </c>
      <c r="P1345" s="25">
        <f t="shared" si="43"/>
        <v>-9.8283155013684231E-3</v>
      </c>
    </row>
    <row r="1346" spans="2:16">
      <c r="B1346" s="44">
        <v>378.63836454233655</v>
      </c>
      <c r="C1346" s="44">
        <v>380.56720203838199</v>
      </c>
      <c r="D1346" s="44">
        <v>378.37362214091854</v>
      </c>
      <c r="E1346" s="44">
        <v>379.22457985976212</v>
      </c>
      <c r="F1346" s="44">
        <v>4561663.5398468049</v>
      </c>
      <c r="G1346" s="44" t="s">
        <v>1168</v>
      </c>
      <c r="H1346" s="25">
        <f t="shared" ref="H1346:H1377" si="44">B1346/E1346-1</f>
        <v>-1.5458262690735136E-3</v>
      </c>
      <c r="J1346" s="44">
        <v>318.75</v>
      </c>
      <c r="K1346" s="44">
        <v>321.68331999999998</v>
      </c>
      <c r="L1346" s="44">
        <v>318.28390000000002</v>
      </c>
      <c r="M1346" s="44">
        <v>320.77334999999999</v>
      </c>
      <c r="N1346" s="44">
        <v>285504</v>
      </c>
      <c r="O1346" s="44" t="s">
        <v>1168</v>
      </c>
      <c r="P1346" s="25">
        <f t="shared" si="43"/>
        <v>-6.3077247533187553E-3</v>
      </c>
    </row>
    <row r="1347" spans="2:16">
      <c r="B1347" s="44">
        <v>379.92425620636686</v>
      </c>
      <c r="C1347" s="44">
        <v>380.12281300743035</v>
      </c>
      <c r="D1347" s="44">
        <v>378.08051448220573</v>
      </c>
      <c r="E1347" s="44">
        <v>378.48708317009772</v>
      </c>
      <c r="F1347" s="44">
        <v>3097976.1292753057</v>
      </c>
      <c r="G1347" s="44" t="s">
        <v>1169</v>
      </c>
      <c r="H1347" s="25">
        <f t="shared" si="44"/>
        <v>3.7971521358979299E-3</v>
      </c>
      <c r="J1347" s="44">
        <v>319.68331999999998</v>
      </c>
      <c r="K1347" s="44">
        <v>320.22332999999998</v>
      </c>
      <c r="L1347" s="44">
        <v>315.50664999999998</v>
      </c>
      <c r="M1347" s="44">
        <v>317.44666000000001</v>
      </c>
      <c r="N1347" s="44">
        <v>343708</v>
      </c>
      <c r="O1347" s="44" t="s">
        <v>1169</v>
      </c>
      <c r="P1347" s="25">
        <f t="shared" si="43"/>
        <v>7.0457821165923473E-3</v>
      </c>
    </row>
    <row r="1348" spans="2:16">
      <c r="B1348" s="44">
        <v>378.55326877045218</v>
      </c>
      <c r="C1348" s="44">
        <v>378.81801117187018</v>
      </c>
      <c r="D1348" s="44">
        <v>375.7640184697982</v>
      </c>
      <c r="E1348" s="44">
        <v>375.96257527086169</v>
      </c>
      <c r="F1348" s="44">
        <v>3524207.0594005994</v>
      </c>
      <c r="G1348" s="44" t="s">
        <v>1170</v>
      </c>
      <c r="H1348" s="25">
        <f t="shared" si="44"/>
        <v>6.8908281568291763E-3</v>
      </c>
      <c r="J1348" s="44">
        <v>316.92667</v>
      </c>
      <c r="K1348" s="44">
        <v>318.39666999999997</v>
      </c>
      <c r="L1348" s="44">
        <v>312.72000000000003</v>
      </c>
      <c r="M1348" s="44">
        <v>317.29000000000002</v>
      </c>
      <c r="N1348" s="44">
        <v>341332</v>
      </c>
      <c r="O1348" s="44" t="s">
        <v>1170</v>
      </c>
      <c r="P1348" s="25">
        <f t="shared" si="43"/>
        <v>-1.1451038482146458E-3</v>
      </c>
    </row>
    <row r="1349" spans="2:16">
      <c r="B1349" s="44">
        <v>374.60104292071196</v>
      </c>
      <c r="C1349" s="44">
        <v>375.25344383849205</v>
      </c>
      <c r="D1349" s="44">
        <v>371.60378073322954</v>
      </c>
      <c r="E1349" s="44">
        <v>372.71948085349112</v>
      </c>
      <c r="F1349" s="44">
        <v>6152355.6154055027</v>
      </c>
      <c r="G1349" s="44" t="s">
        <v>1171</v>
      </c>
      <c r="H1349" s="25">
        <f t="shared" si="44"/>
        <v>5.048198883815358E-3</v>
      </c>
      <c r="J1349" s="44">
        <v>317.29000000000002</v>
      </c>
      <c r="K1349" s="44">
        <v>317.93668000000002</v>
      </c>
      <c r="L1349" s="44">
        <v>312.10665999999998</v>
      </c>
      <c r="M1349" s="44">
        <v>313.74666999999999</v>
      </c>
      <c r="N1349" s="44">
        <v>455340</v>
      </c>
      <c r="O1349" s="44" t="s">
        <v>1171</v>
      </c>
      <c r="P1349" s="25">
        <f t="shared" si="43"/>
        <v>1.1293601936874786E-2</v>
      </c>
    </row>
    <row r="1350" spans="2:16">
      <c r="B1350" s="44">
        <v>377.60776019395934</v>
      </c>
      <c r="C1350" s="44">
        <v>377.8819576811423</v>
      </c>
      <c r="D1350" s="44">
        <v>375.06434212319351</v>
      </c>
      <c r="E1350" s="44">
        <v>376.9459041904143</v>
      </c>
      <c r="F1350" s="44">
        <v>5021456.3019733541</v>
      </c>
      <c r="G1350" s="44" t="s">
        <v>1172</v>
      </c>
      <c r="H1350" s="25">
        <f t="shared" si="44"/>
        <v>1.7558381618882901E-3</v>
      </c>
      <c r="J1350" s="44">
        <v>318.23</v>
      </c>
      <c r="K1350" s="44">
        <v>320.29000000000002</v>
      </c>
      <c r="L1350" s="44">
        <v>316.22833000000003</v>
      </c>
      <c r="M1350" s="44">
        <v>318.00333000000001</v>
      </c>
      <c r="N1350" s="44">
        <v>497619</v>
      </c>
      <c r="O1350" s="44" t="s">
        <v>1172</v>
      </c>
      <c r="P1350" s="25">
        <f t="shared" si="43"/>
        <v>7.1279127800338848E-4</v>
      </c>
    </row>
    <row r="1351" spans="2:16">
      <c r="B1351" s="44">
        <v>376.31241344416406</v>
      </c>
      <c r="C1351" s="44">
        <v>377.24846693489201</v>
      </c>
      <c r="D1351" s="44">
        <v>373.75954028763334</v>
      </c>
      <c r="E1351" s="44">
        <v>377.04045504806356</v>
      </c>
      <c r="F1351" s="44">
        <v>4580969.5519273179</v>
      </c>
      <c r="G1351" s="44" t="s">
        <v>1173</v>
      </c>
      <c r="H1351" s="25">
        <f t="shared" si="44"/>
        <v>-1.9309376332221628E-3</v>
      </c>
      <c r="J1351" s="44">
        <v>316.01334000000003</v>
      </c>
      <c r="K1351" s="44">
        <v>316.43</v>
      </c>
      <c r="L1351" s="44">
        <v>309.15667999999999</v>
      </c>
      <c r="M1351" s="44">
        <v>314.18331999999998</v>
      </c>
      <c r="N1351" s="44">
        <v>575419</v>
      </c>
      <c r="O1351" s="44" t="s">
        <v>1173</v>
      </c>
      <c r="P1351" s="25">
        <f t="shared" si="43"/>
        <v>5.8246885926345193E-3</v>
      </c>
    </row>
    <row r="1352" spans="2:16">
      <c r="B1352" s="44">
        <v>377.02154487653371</v>
      </c>
      <c r="C1352" s="44">
        <v>377.30519744948162</v>
      </c>
      <c r="D1352" s="44">
        <v>374.91778829383708</v>
      </c>
      <c r="E1352" s="44">
        <v>375.22507858119729</v>
      </c>
      <c r="F1352" s="44">
        <v>4614565.2281482834</v>
      </c>
      <c r="G1352" s="44" t="s">
        <v>1174</v>
      </c>
      <c r="H1352" s="25">
        <f t="shared" si="44"/>
        <v>4.7877031624037336E-3</v>
      </c>
      <c r="J1352" s="44">
        <v>312.72000000000003</v>
      </c>
      <c r="K1352" s="44">
        <v>313.15667999999999</v>
      </c>
      <c r="L1352" s="44">
        <v>309.77</v>
      </c>
      <c r="M1352" s="44">
        <v>310.29333000000003</v>
      </c>
      <c r="N1352" s="44">
        <v>338529</v>
      </c>
      <c r="O1352" s="44" t="s">
        <v>1174</v>
      </c>
      <c r="P1352" s="25">
        <f t="shared" si="43"/>
        <v>7.8205677189386869E-3</v>
      </c>
    </row>
    <row r="1353" spans="2:16">
      <c r="B1353" s="44">
        <v>374.17556406129017</v>
      </c>
      <c r="C1353" s="44">
        <v>374.2795700047044</v>
      </c>
      <c r="D1353" s="44">
        <v>372.72534300666541</v>
      </c>
      <c r="E1353" s="44">
        <v>372.81403171114044</v>
      </c>
      <c r="F1353" s="44">
        <v>3611299.8706635549</v>
      </c>
      <c r="G1353" s="44" t="s">
        <v>1175</v>
      </c>
      <c r="H1353" s="25">
        <f t="shared" si="44"/>
        <v>3.6520415926959426E-3</v>
      </c>
      <c r="J1353" s="44">
        <v>309.15332000000001</v>
      </c>
      <c r="K1353" s="44">
        <v>309.33334000000002</v>
      </c>
      <c r="L1353" s="44">
        <v>305.49666999999999</v>
      </c>
      <c r="M1353" s="44">
        <v>305.84332000000001</v>
      </c>
      <c r="N1353" s="44">
        <v>364534</v>
      </c>
      <c r="O1353" s="44" t="s">
        <v>1175</v>
      </c>
      <c r="P1353" s="25">
        <f t="shared" si="43"/>
        <v>1.0822534884855406E-2</v>
      </c>
    </row>
    <row r="1354" spans="2:16">
      <c r="B1354" s="44">
        <v>372.07653502147599</v>
      </c>
      <c r="C1354" s="44">
        <v>372.65424076171314</v>
      </c>
      <c r="D1354" s="44">
        <v>371.32012816028174</v>
      </c>
      <c r="E1354" s="44">
        <v>371.32012816028174</v>
      </c>
      <c r="F1354" s="44">
        <v>4014691.2406442952</v>
      </c>
      <c r="G1354" s="44" t="s">
        <v>1176</v>
      </c>
      <c r="H1354" s="25">
        <f t="shared" si="44"/>
        <v>2.0370747606435202E-3</v>
      </c>
      <c r="J1354" s="44">
        <v>306.54665999999997</v>
      </c>
      <c r="K1354" s="44">
        <v>308.33334000000002</v>
      </c>
      <c r="L1354" s="44">
        <v>304.00664999999998</v>
      </c>
      <c r="M1354" s="44">
        <v>306.68331999999998</v>
      </c>
      <c r="N1354" s="44">
        <v>539797</v>
      </c>
      <c r="O1354" s="44" t="s">
        <v>1176</v>
      </c>
      <c r="P1354" s="25">
        <f t="shared" si="43"/>
        <v>-4.456062364265323E-4</v>
      </c>
    </row>
    <row r="1355" spans="2:16">
      <c r="B1355" s="44">
        <v>371.73615193393857</v>
      </c>
      <c r="C1355" s="44">
        <v>372.47364862360303</v>
      </c>
      <c r="D1355" s="44">
        <v>371.26339764569212</v>
      </c>
      <c r="E1355" s="44">
        <v>371.91579856347221</v>
      </c>
      <c r="F1355" s="44">
        <v>3096350.5490973862</v>
      </c>
      <c r="G1355" s="44" t="s">
        <v>1177</v>
      </c>
      <c r="H1355" s="25">
        <f t="shared" si="44"/>
        <v>-4.8303038006858312E-4</v>
      </c>
      <c r="J1355" s="44">
        <v>306.90667999999999</v>
      </c>
      <c r="K1355" s="44">
        <v>308.68</v>
      </c>
      <c r="L1355" s="44">
        <v>303.66003000000001</v>
      </c>
      <c r="M1355" s="44">
        <v>305</v>
      </c>
      <c r="N1355" s="44">
        <v>413768</v>
      </c>
      <c r="O1355" s="44" t="s">
        <v>1177</v>
      </c>
      <c r="P1355" s="25">
        <f t="shared" si="43"/>
        <v>6.2514098360655357E-3</v>
      </c>
    </row>
    <row r="1356" spans="2:16">
      <c r="B1356" s="44">
        <v>371.57267350106287</v>
      </c>
      <c r="C1356" s="44">
        <v>371.69517412886552</v>
      </c>
      <c r="D1356" s="44">
        <v>370.16862784394027</v>
      </c>
      <c r="E1356" s="44">
        <v>371.29940286981082</v>
      </c>
      <c r="F1356" s="44">
        <v>2566528.561033356</v>
      </c>
      <c r="G1356" s="44" t="s">
        <v>1178</v>
      </c>
      <c r="H1356" s="25">
        <f t="shared" si="44"/>
        <v>7.3598456970280779E-4</v>
      </c>
      <c r="J1356" s="44">
        <v>304.13666000000001</v>
      </c>
      <c r="K1356" s="44">
        <v>304.85000000000002</v>
      </c>
      <c r="L1356" s="44">
        <v>301.5</v>
      </c>
      <c r="M1356" s="44">
        <v>303.26</v>
      </c>
      <c r="N1356" s="44">
        <v>415164</v>
      </c>
      <c r="O1356" s="44" t="s">
        <v>1178</v>
      </c>
      <c r="P1356" s="25">
        <f t="shared" si="43"/>
        <v>2.8907867836180934E-3</v>
      </c>
    </row>
    <row r="1357" spans="2:16">
      <c r="B1357" s="44">
        <v>370.79997723338471</v>
      </c>
      <c r="C1357" s="44">
        <v>371.19574849243941</v>
      </c>
      <c r="D1357" s="44">
        <v>369.89535721268828</v>
      </c>
      <c r="E1357" s="44">
        <v>370.23458972044938</v>
      </c>
      <c r="F1357" s="44">
        <v>3038340.1838530805</v>
      </c>
      <c r="G1357" s="44" t="s">
        <v>1179</v>
      </c>
      <c r="H1357" s="25">
        <f t="shared" si="44"/>
        <v>1.5271061338764103E-3</v>
      </c>
      <c r="J1357" s="44">
        <v>302.78332999999998</v>
      </c>
      <c r="K1357" s="44">
        <v>304.06168000000002</v>
      </c>
      <c r="L1357" s="44">
        <v>301.21667000000002</v>
      </c>
      <c r="M1357" s="44">
        <v>301.66665999999998</v>
      </c>
      <c r="N1357" s="44">
        <v>434468</v>
      </c>
      <c r="O1357" s="44" t="s">
        <v>1179</v>
      </c>
      <c r="P1357" s="25">
        <f t="shared" si="43"/>
        <v>3.7016685900921331E-3</v>
      </c>
    </row>
    <row r="1358" spans="2:16">
      <c r="B1358" s="44">
        <v>369.43362407712442</v>
      </c>
      <c r="C1358" s="44">
        <v>369.87509749347475</v>
      </c>
      <c r="D1358" s="44">
        <v>369.07554531893209</v>
      </c>
      <c r="E1358" s="44">
        <v>369.28285407367503</v>
      </c>
      <c r="F1358" s="44">
        <v>3170731.5053582103</v>
      </c>
      <c r="G1358" s="44" t="s">
        <v>1180</v>
      </c>
      <c r="H1358" s="25">
        <f t="shared" si="44"/>
        <v>4.0827783306540688E-4</v>
      </c>
      <c r="J1358" s="44">
        <v>301.52334999999999</v>
      </c>
      <c r="K1358" s="44">
        <v>304.57</v>
      </c>
      <c r="L1358" s="44">
        <v>300.12</v>
      </c>
      <c r="M1358" s="44">
        <v>304.43</v>
      </c>
      <c r="N1358" s="44">
        <v>341011</v>
      </c>
      <c r="O1358" s="44" t="s">
        <v>1180</v>
      </c>
      <c r="P1358" s="25">
        <f t="shared" si="43"/>
        <v>-9.5478435108234949E-3</v>
      </c>
    </row>
    <row r="1359" spans="2:16">
      <c r="B1359" s="44">
        <v>367.33226715404834</v>
      </c>
      <c r="C1359" s="44">
        <v>368.57611968250592</v>
      </c>
      <c r="D1359" s="44">
        <v>367.21918965146125</v>
      </c>
      <c r="E1359" s="44">
        <v>367.83169279047451</v>
      </c>
      <c r="F1359" s="44">
        <v>2551335.0878782752</v>
      </c>
      <c r="G1359" s="44" t="s">
        <v>1181</v>
      </c>
      <c r="H1359" s="25">
        <f t="shared" si="44"/>
        <v>-1.3577558601255424E-3</v>
      </c>
      <c r="J1359" s="44">
        <v>301.80667</v>
      </c>
      <c r="K1359" s="44">
        <v>303.78500000000003</v>
      </c>
      <c r="L1359" s="44">
        <v>299.73</v>
      </c>
      <c r="M1359" s="44">
        <v>300</v>
      </c>
      <c r="N1359" s="44">
        <v>430805</v>
      </c>
      <c r="O1359" s="44" t="s">
        <v>1181</v>
      </c>
      <c r="P1359" s="25">
        <f t="shared" si="43"/>
        <v>6.0222333333332934E-3</v>
      </c>
    </row>
    <row r="1360" spans="2:16">
      <c r="B1360" s="44">
        <v>367.72803841310304</v>
      </c>
      <c r="C1360" s="44">
        <v>368.52900405642799</v>
      </c>
      <c r="D1360" s="44">
        <v>365.11783272838517</v>
      </c>
      <c r="E1360" s="44">
        <v>365.84341336998546</v>
      </c>
      <c r="F1360" s="44">
        <v>2871066.5921371863</v>
      </c>
      <c r="G1360" s="44" t="s">
        <v>1182</v>
      </c>
      <c r="H1360" s="25">
        <f t="shared" si="44"/>
        <v>5.1514527096641061E-3</v>
      </c>
      <c r="J1360" s="44">
        <v>300.65332000000001</v>
      </c>
      <c r="K1360" s="44">
        <v>301</v>
      </c>
      <c r="L1360" s="44">
        <v>295.69168000000002</v>
      </c>
      <c r="M1360" s="44">
        <v>298.42334</v>
      </c>
      <c r="N1360" s="44">
        <v>449895</v>
      </c>
      <c r="O1360" s="44" t="s">
        <v>1182</v>
      </c>
      <c r="P1360" s="25">
        <f t="shared" si="43"/>
        <v>7.4725388436440721E-3</v>
      </c>
    </row>
    <row r="1361" spans="2:16">
      <c r="B1361" s="44">
        <v>365.78687461869191</v>
      </c>
      <c r="C1361" s="44">
        <v>365.97533712300367</v>
      </c>
      <c r="D1361" s="44">
        <v>361.51819889603058</v>
      </c>
      <c r="E1361" s="44">
        <v>362.31916453935554</v>
      </c>
      <c r="F1361" s="44">
        <v>4658517.105066523</v>
      </c>
      <c r="G1361" s="44" t="s">
        <v>1183</v>
      </c>
      <c r="H1361" s="25">
        <f t="shared" si="44"/>
        <v>9.5708712613784552E-3</v>
      </c>
      <c r="J1361" s="44">
        <v>298</v>
      </c>
      <c r="K1361" s="44">
        <v>300.31668000000002</v>
      </c>
      <c r="L1361" s="44">
        <v>291.86</v>
      </c>
      <c r="M1361" s="44">
        <v>294.95334000000003</v>
      </c>
      <c r="N1361" s="44">
        <v>474667</v>
      </c>
      <c r="O1361" s="44" t="s">
        <v>1183</v>
      </c>
      <c r="P1361" s="25">
        <f t="shared" si="43"/>
        <v>1.0329294796254773E-2</v>
      </c>
    </row>
    <row r="1362" spans="2:16">
      <c r="B1362" s="44">
        <v>360.73607950313675</v>
      </c>
      <c r="C1362" s="44">
        <v>363.1483995583273</v>
      </c>
      <c r="D1362" s="44">
        <v>360.45338574666914</v>
      </c>
      <c r="E1362" s="44">
        <v>362.59243517060764</v>
      </c>
      <c r="F1362" s="44">
        <v>5530129.2095531942</v>
      </c>
      <c r="G1362" s="44" t="s">
        <v>1184</v>
      </c>
      <c r="H1362" s="25">
        <f t="shared" si="44"/>
        <v>-5.1196756672472477E-3</v>
      </c>
      <c r="J1362" s="44">
        <v>292.95334000000003</v>
      </c>
      <c r="K1362" s="44">
        <v>295.33334000000002</v>
      </c>
      <c r="L1362" s="44">
        <v>291.86667</v>
      </c>
      <c r="M1362" s="44">
        <v>293.51</v>
      </c>
      <c r="N1362" s="44">
        <v>801193</v>
      </c>
      <c r="O1362" s="44" t="s">
        <v>1184</v>
      </c>
      <c r="P1362" s="25">
        <f t="shared" si="43"/>
        <v>-1.8965622977069607E-3</v>
      </c>
    </row>
    <row r="1363" spans="2:16">
      <c r="B1363" s="44">
        <v>365.58898898916459</v>
      </c>
      <c r="C1363" s="44">
        <v>366.47476275942984</v>
      </c>
      <c r="D1363" s="44">
        <v>363.26147706091433</v>
      </c>
      <c r="E1363" s="44">
        <v>365.259179606619</v>
      </c>
      <c r="F1363" s="44">
        <v>4314208.8288024077</v>
      </c>
      <c r="G1363" s="44" t="s">
        <v>1185</v>
      </c>
      <c r="H1363" s="25">
        <f t="shared" si="44"/>
        <v>9.0294618440744934E-4</v>
      </c>
      <c r="J1363" s="44">
        <v>295.00333000000001</v>
      </c>
      <c r="K1363" s="44">
        <v>297.08999999999997</v>
      </c>
      <c r="L1363" s="44">
        <v>288.79406999999998</v>
      </c>
      <c r="M1363" s="44">
        <v>289.74666999999999</v>
      </c>
      <c r="N1363" s="44">
        <v>522440</v>
      </c>
      <c r="O1363" s="44" t="s">
        <v>1185</v>
      </c>
      <c r="P1363" s="25">
        <f t="shared" si="43"/>
        <v>1.8142261997351028E-2</v>
      </c>
    </row>
    <row r="1364" spans="2:16">
      <c r="B1364" s="44">
        <v>365.7209127421828</v>
      </c>
      <c r="C1364" s="44">
        <v>368.04842467043301</v>
      </c>
      <c r="D1364" s="44">
        <v>363.75147957212488</v>
      </c>
      <c r="E1364" s="44">
        <v>367.89633542945347</v>
      </c>
      <c r="F1364" s="44">
        <v>4451088.0456747822</v>
      </c>
      <c r="G1364" s="44" t="s">
        <v>1186</v>
      </c>
      <c r="H1364" s="25">
        <f t="shared" si="44"/>
        <v>-5.9131404087818806E-3</v>
      </c>
      <c r="J1364" s="44">
        <v>290.47332999999998</v>
      </c>
      <c r="K1364" s="44">
        <v>293.87331999999998</v>
      </c>
      <c r="L1364" s="44">
        <v>288.33334000000002</v>
      </c>
      <c r="M1364" s="44">
        <v>291.45334000000003</v>
      </c>
      <c r="N1364" s="44">
        <v>448186</v>
      </c>
      <c r="O1364" s="44" t="s">
        <v>1186</v>
      </c>
      <c r="P1364" s="25">
        <f t="shared" si="43"/>
        <v>-3.3624936327717458E-3</v>
      </c>
    </row>
    <row r="1365" spans="2:16">
      <c r="B1365" s="44">
        <v>367.7374615383186</v>
      </c>
      <c r="C1365" s="44">
        <v>368.63265843379946</v>
      </c>
      <c r="D1365" s="44">
        <v>366.94582478895705</v>
      </c>
      <c r="E1365" s="44">
        <v>368.58554280772148</v>
      </c>
      <c r="F1365" s="44">
        <v>2552273.2055194774</v>
      </c>
      <c r="G1365" s="44" t="s">
        <v>1187</v>
      </c>
      <c r="H1365" s="25">
        <f t="shared" si="44"/>
        <v>-2.3009075802120638E-3</v>
      </c>
      <c r="J1365" s="44">
        <v>290.78665000000001</v>
      </c>
      <c r="K1365" s="44">
        <v>291.78167999999999</v>
      </c>
      <c r="L1365" s="44">
        <v>289.88666000000001</v>
      </c>
      <c r="M1365" s="44">
        <v>291.66665999999998</v>
      </c>
      <c r="N1365" s="44">
        <v>437127</v>
      </c>
      <c r="O1365" s="44" t="s">
        <v>1187</v>
      </c>
      <c r="P1365" s="25">
        <f t="shared" si="43"/>
        <v>-3.0171772118210427E-3</v>
      </c>
    </row>
    <row r="1366" spans="2:16">
      <c r="B1366" s="44">
        <v>368.51015780599681</v>
      </c>
      <c r="C1366" s="44">
        <v>368.51015780599681</v>
      </c>
      <c r="D1366" s="44">
        <v>366.55957088637012</v>
      </c>
      <c r="E1366" s="44">
        <v>367.69976903745624</v>
      </c>
      <c r="F1366" s="44">
        <v>2390082.8530585137</v>
      </c>
      <c r="G1366" s="44" t="s">
        <v>1188</v>
      </c>
      <c r="H1366" s="25">
        <f t="shared" si="44"/>
        <v>2.2039414674150937E-3</v>
      </c>
      <c r="J1366" s="44">
        <v>290.93</v>
      </c>
      <c r="K1366" s="44">
        <v>291.13666000000001</v>
      </c>
      <c r="L1366" s="44">
        <v>286.54665999999997</v>
      </c>
      <c r="M1366" s="44">
        <v>287.43</v>
      </c>
      <c r="N1366" s="44">
        <v>421383</v>
      </c>
      <c r="O1366" s="44" t="s">
        <v>1188</v>
      </c>
      <c r="P1366" s="25">
        <f t="shared" si="43"/>
        <v>1.2176877848519618E-2</v>
      </c>
    </row>
    <row r="1367" spans="2:16">
      <c r="B1367" s="44">
        <v>367.5866915348692</v>
      </c>
      <c r="C1367" s="44">
        <v>367.69034591224067</v>
      </c>
      <c r="D1367" s="44">
        <v>366.30514650554926</v>
      </c>
      <c r="E1367" s="44">
        <v>367.50188340792891</v>
      </c>
      <c r="F1367" s="44">
        <v>2378722.5031161276</v>
      </c>
      <c r="G1367" s="44" t="s">
        <v>1189</v>
      </c>
      <c r="H1367" s="25">
        <f t="shared" si="44"/>
        <v>2.3076923076925659E-4</v>
      </c>
      <c r="J1367" s="44">
        <v>288.08999999999997</v>
      </c>
      <c r="K1367" s="44">
        <v>288.10000000000002</v>
      </c>
      <c r="L1367" s="44">
        <v>285.12331999999998</v>
      </c>
      <c r="M1367" s="44">
        <v>286.66665999999998</v>
      </c>
      <c r="N1367" s="44">
        <v>445172</v>
      </c>
      <c r="O1367" s="44" t="s">
        <v>1189</v>
      </c>
      <c r="P1367" s="25">
        <f t="shared" si="43"/>
        <v>4.9651396503520573E-3</v>
      </c>
    </row>
    <row r="1368" spans="2:16">
      <c r="B1368" s="44">
        <v>366.94591902020926</v>
      </c>
      <c r="C1368" s="44">
        <v>367.84083322193356</v>
      </c>
      <c r="D1368" s="44">
        <v>365.22148710575664</v>
      </c>
      <c r="E1368" s="44">
        <v>366.42764713335191</v>
      </c>
      <c r="F1368" s="44">
        <v>2771707.8360366938</v>
      </c>
      <c r="G1368" s="44" t="s">
        <v>1190</v>
      </c>
      <c r="H1368" s="25">
        <f t="shared" si="44"/>
        <v>1.4143907833152891E-3</v>
      </c>
      <c r="J1368" s="44">
        <v>286.38</v>
      </c>
      <c r="K1368" s="44">
        <v>286.54333000000003</v>
      </c>
      <c r="L1368" s="44">
        <v>280.38</v>
      </c>
      <c r="M1368" s="44">
        <v>281.02334999999999</v>
      </c>
      <c r="N1368" s="44">
        <v>396421</v>
      </c>
      <c r="O1368" s="44" t="s">
        <v>1190</v>
      </c>
      <c r="P1368" s="25">
        <f t="shared" si="43"/>
        <v>1.9061227474514109E-2</v>
      </c>
    </row>
    <row r="1369" spans="2:16">
      <c r="B1369" s="44">
        <v>365.259179606619</v>
      </c>
      <c r="C1369" s="44">
        <v>366.68207151417278</v>
      </c>
      <c r="D1369" s="44">
        <v>365.06129397709168</v>
      </c>
      <c r="E1369" s="44">
        <v>366.63495588809479</v>
      </c>
      <c r="F1369" s="44">
        <v>3149792.5922602918</v>
      </c>
      <c r="G1369" s="44" t="s">
        <v>1191</v>
      </c>
      <c r="H1369" s="25">
        <f t="shared" si="44"/>
        <v>-3.7524416572426444E-3</v>
      </c>
      <c r="J1369" s="44">
        <v>280.08</v>
      </c>
      <c r="K1369" s="44">
        <v>281.32317999999998</v>
      </c>
      <c r="L1369" s="44">
        <v>278.25</v>
      </c>
      <c r="M1369" s="44">
        <v>278.76</v>
      </c>
      <c r="N1369" s="44">
        <v>361696</v>
      </c>
      <c r="O1369" s="44" t="s">
        <v>1191</v>
      </c>
      <c r="P1369" s="25">
        <f t="shared" si="43"/>
        <v>4.7352561343090294E-3</v>
      </c>
    </row>
    <row r="1370" spans="2:16">
      <c r="B1370" s="44">
        <v>365.83399024476989</v>
      </c>
      <c r="C1370" s="44">
        <v>366.63495588809479</v>
      </c>
      <c r="D1370" s="44">
        <v>364.14725083117963</v>
      </c>
      <c r="E1370" s="44">
        <v>366.55957088637012</v>
      </c>
      <c r="F1370" s="44">
        <v>2532723.428159493</v>
      </c>
      <c r="G1370" s="44" t="s">
        <v>1192</v>
      </c>
      <c r="H1370" s="25">
        <f t="shared" si="44"/>
        <v>-1.9794344473006431E-3</v>
      </c>
      <c r="J1370" s="44">
        <v>277.89</v>
      </c>
      <c r="K1370" s="44">
        <v>280.38</v>
      </c>
      <c r="L1370" s="44">
        <v>275.39666999999997</v>
      </c>
      <c r="M1370" s="44">
        <v>278.45</v>
      </c>
      <c r="N1370" s="44">
        <v>414275</v>
      </c>
      <c r="O1370" s="44" t="s">
        <v>1192</v>
      </c>
      <c r="P1370" s="25">
        <f t="shared" si="43"/>
        <v>-2.0111330579996034E-3</v>
      </c>
    </row>
    <row r="1371" spans="2:16">
      <c r="B1371" s="44">
        <v>365.77745149347635</v>
      </c>
      <c r="C1371" s="44">
        <v>366.2674540046869</v>
      </c>
      <c r="D1371" s="44">
        <v>364.91052397364223</v>
      </c>
      <c r="E1371" s="44">
        <v>366.10726087602188</v>
      </c>
      <c r="F1371" s="44">
        <v>2653705.5836458849</v>
      </c>
      <c r="G1371" s="44" t="s">
        <v>1193</v>
      </c>
      <c r="H1371" s="25">
        <f t="shared" si="44"/>
        <v>-9.0085452486343698E-4</v>
      </c>
      <c r="J1371" s="44">
        <v>277.04000000000002</v>
      </c>
      <c r="K1371" s="44">
        <v>281.06331999999998</v>
      </c>
      <c r="L1371" s="44">
        <v>276.27</v>
      </c>
      <c r="M1371" s="44">
        <v>278.38666000000001</v>
      </c>
      <c r="N1371" s="44">
        <v>362957</v>
      </c>
      <c r="O1371" s="44" t="s">
        <v>1193</v>
      </c>
      <c r="P1371" s="25">
        <f t="shared" si="43"/>
        <v>-4.8373725953678726E-3</v>
      </c>
    </row>
    <row r="1372" spans="2:16">
      <c r="B1372" s="44">
        <v>366.0884146255907</v>
      </c>
      <c r="C1372" s="44">
        <v>366.37110838205837</v>
      </c>
      <c r="D1372" s="44">
        <v>364.44879083807842</v>
      </c>
      <c r="E1372" s="44">
        <v>364.49590646415635</v>
      </c>
      <c r="F1372" s="44">
        <v>2789035.4207036044</v>
      </c>
      <c r="G1372" s="44" t="s">
        <v>1194</v>
      </c>
      <c r="H1372" s="25">
        <f t="shared" si="44"/>
        <v>4.3690700860887777E-3</v>
      </c>
      <c r="J1372" s="44">
        <v>277.14999999999998</v>
      </c>
      <c r="K1372" s="44">
        <v>278.59667999999999</v>
      </c>
      <c r="L1372" s="44">
        <v>273.70999999999998</v>
      </c>
      <c r="M1372" s="44">
        <v>273.85333000000003</v>
      </c>
      <c r="N1372" s="44">
        <v>458166</v>
      </c>
      <c r="O1372" s="44" t="s">
        <v>1194</v>
      </c>
      <c r="P1372" s="25">
        <f t="shared" si="43"/>
        <v>1.2038086226667133E-2</v>
      </c>
    </row>
    <row r="1373" spans="2:16">
      <c r="B1373" s="44">
        <v>362.79974392535053</v>
      </c>
      <c r="C1373" s="44">
        <v>363.83628769906522</v>
      </c>
      <c r="D1373" s="44">
        <v>360.62300200054972</v>
      </c>
      <c r="E1373" s="44">
        <v>362.00820140724119</v>
      </c>
      <c r="F1373" s="44">
        <v>3598546.0475369836</v>
      </c>
      <c r="G1373" s="44" t="s">
        <v>1195</v>
      </c>
      <c r="H1373" s="25">
        <f t="shared" si="44"/>
        <v>2.186532004060604E-3</v>
      </c>
      <c r="J1373" s="44">
        <v>272.21667000000002</v>
      </c>
      <c r="K1373" s="44">
        <v>274.94666000000001</v>
      </c>
      <c r="L1373" s="44">
        <v>270.37</v>
      </c>
      <c r="M1373" s="44">
        <v>270.96334999999999</v>
      </c>
      <c r="N1373" s="44">
        <v>420487</v>
      </c>
      <c r="O1373" s="44" t="s">
        <v>1195</v>
      </c>
      <c r="P1373" s="25">
        <f t="shared" si="43"/>
        <v>4.6254225894388767E-3</v>
      </c>
    </row>
    <row r="1374" spans="2:16">
      <c r="B1374" s="44">
        <v>364.184943332042</v>
      </c>
      <c r="C1374" s="44">
        <v>364.90110084842667</v>
      </c>
      <c r="D1374" s="44">
        <v>363.23320768526759</v>
      </c>
      <c r="E1374" s="44">
        <v>364.1566739563952</v>
      </c>
      <c r="F1374" s="44">
        <v>3405654.6279267226</v>
      </c>
      <c r="G1374" s="44" t="s">
        <v>1196</v>
      </c>
      <c r="H1374" s="25">
        <f t="shared" si="44"/>
        <v>7.7629706300985646E-5</v>
      </c>
      <c r="J1374" s="44">
        <v>273.84667999999999</v>
      </c>
      <c r="K1374" s="44">
        <v>279.3</v>
      </c>
      <c r="L1374" s="44">
        <v>272.97665000000001</v>
      </c>
      <c r="M1374" s="44">
        <v>278.74</v>
      </c>
      <c r="N1374" s="44">
        <v>398650</v>
      </c>
      <c r="O1374" s="44" t="s">
        <v>1196</v>
      </c>
      <c r="P1374" s="25">
        <f t="shared" si="43"/>
        <v>-1.7555140991605156E-2</v>
      </c>
    </row>
    <row r="1375" spans="2:16">
      <c r="B1375" s="44">
        <v>363.57244019302874</v>
      </c>
      <c r="C1375" s="44">
        <v>366.20149212817779</v>
      </c>
      <c r="D1375" s="44">
        <v>363.1483995583273</v>
      </c>
      <c r="E1375" s="44">
        <v>366.0884146255907</v>
      </c>
      <c r="F1375" s="44">
        <v>4657734.9866258381</v>
      </c>
      <c r="G1375" s="44" t="s">
        <v>1197</v>
      </c>
      <c r="H1375" s="25">
        <f t="shared" si="44"/>
        <v>-6.87258687258685E-3</v>
      </c>
      <c r="J1375" s="44">
        <v>278.68</v>
      </c>
      <c r="K1375" s="44">
        <v>284.25664999999998</v>
      </c>
      <c r="L1375" s="44">
        <v>276.25</v>
      </c>
      <c r="M1375" s="44">
        <v>284.25664999999998</v>
      </c>
      <c r="N1375" s="44">
        <v>497894</v>
      </c>
      <c r="O1375" s="44" t="s">
        <v>1197</v>
      </c>
      <c r="P1375" s="25">
        <f t="shared" si="43"/>
        <v>-1.9618362490376073E-2</v>
      </c>
    </row>
    <row r="1376" spans="2:16">
      <c r="B1376" s="44">
        <v>363.85513394949641</v>
      </c>
      <c r="C1376" s="44">
        <v>364.92937022407341</v>
      </c>
      <c r="D1376" s="44">
        <v>363.67609457040021</v>
      </c>
      <c r="E1376" s="44">
        <v>364.70321521889929</v>
      </c>
      <c r="F1376" s="44">
        <v>3577493.584000594</v>
      </c>
      <c r="G1376" s="44" t="s">
        <v>1198</v>
      </c>
      <c r="H1376" s="25">
        <f t="shared" si="44"/>
        <v>-2.325401131695104E-3</v>
      </c>
      <c r="J1376" s="44">
        <v>280.72665000000001</v>
      </c>
      <c r="K1376" s="44">
        <v>284.77334999999999</v>
      </c>
      <c r="L1376" s="44">
        <v>279.66332999999997</v>
      </c>
      <c r="M1376" s="44">
        <v>279.66332999999997</v>
      </c>
      <c r="N1376" s="44">
        <v>525294</v>
      </c>
      <c r="O1376" s="44" t="s">
        <v>1198</v>
      </c>
      <c r="P1376" s="25">
        <f t="shared" si="43"/>
        <v>3.8021430982746462E-3</v>
      </c>
    </row>
    <row r="1377" spans="2:16">
      <c r="B1377" s="44">
        <v>363.1483995583273</v>
      </c>
      <c r="C1377" s="44">
        <v>364.46763708850955</v>
      </c>
      <c r="D1377" s="44">
        <v>363.09186080703375</v>
      </c>
      <c r="E1377" s="44">
        <v>363.99798852776473</v>
      </c>
      <c r="F1377" s="44">
        <v>3200492.3324282034</v>
      </c>
      <c r="G1377" s="44" t="s">
        <v>1199</v>
      </c>
      <c r="H1377" s="25">
        <f t="shared" si="44"/>
        <v>-2.3340485283276369E-3</v>
      </c>
      <c r="J1377" s="44">
        <v>278.12</v>
      </c>
      <c r="K1377" s="44">
        <v>282.18</v>
      </c>
      <c r="L1377" s="44">
        <v>276.39834999999999</v>
      </c>
      <c r="M1377" s="44">
        <v>279.56668000000002</v>
      </c>
      <c r="N1377" s="44">
        <v>1306795</v>
      </c>
      <c r="O1377" s="44" t="s">
        <v>1199</v>
      </c>
      <c r="P1377" s="25">
        <f t="shared" si="43"/>
        <v>-5.1747225384656259E-3</v>
      </c>
    </row>
    <row r="1378" spans="2:16">
      <c r="B1378" s="44">
        <v>362.98820642966228</v>
      </c>
      <c r="C1378" s="44">
        <v>363.49705519130407</v>
      </c>
      <c r="D1378" s="44">
        <v>361.91397015508528</v>
      </c>
      <c r="E1378" s="44">
        <v>362.8751289270752</v>
      </c>
      <c r="F1378" s="44">
        <v>2804488.8925262131</v>
      </c>
      <c r="G1378" s="44" t="s">
        <v>1200</v>
      </c>
      <c r="H1378" s="25">
        <f t="shared" ref="H1378:H1396" si="45">B1378/E1378-1</f>
        <v>3.1161546651437E-4</v>
      </c>
      <c r="J1378" s="44">
        <v>279.79333000000003</v>
      </c>
      <c r="K1378" s="44">
        <v>283.23</v>
      </c>
      <c r="L1378" s="44">
        <v>278.39834999999999</v>
      </c>
      <c r="M1378" s="44">
        <v>282.37</v>
      </c>
      <c r="N1378" s="44">
        <v>495144</v>
      </c>
      <c r="O1378" s="44" t="s">
        <v>1200</v>
      </c>
      <c r="P1378" s="25">
        <f t="shared" si="43"/>
        <v>-9.1251549385557018E-3</v>
      </c>
    </row>
    <row r="1379" spans="2:16">
      <c r="B1379" s="44">
        <v>362.32858766457116</v>
      </c>
      <c r="C1379" s="44">
        <v>364.44879083807842</v>
      </c>
      <c r="D1379" s="44">
        <v>361.79146952728263</v>
      </c>
      <c r="E1379" s="44">
        <v>364.10955833031721</v>
      </c>
      <c r="F1379" s="44">
        <v>4278630.3988941004</v>
      </c>
      <c r="G1379" s="44" t="s">
        <v>1201</v>
      </c>
      <c r="H1379" s="25">
        <f t="shared" si="45"/>
        <v>-4.8913043478259199E-3</v>
      </c>
      <c r="J1379" s="44">
        <v>282.00333000000001</v>
      </c>
      <c r="K1379" s="44">
        <v>282.25333000000001</v>
      </c>
      <c r="L1379" s="44">
        <v>279.45999999999998</v>
      </c>
      <c r="M1379" s="44">
        <v>280.09667999999999</v>
      </c>
      <c r="N1379" s="44">
        <v>676351</v>
      </c>
      <c r="O1379" s="44" t="s">
        <v>1201</v>
      </c>
      <c r="P1379" s="25">
        <f t="shared" si="43"/>
        <v>6.8071138865337666E-3</v>
      </c>
    </row>
    <row r="1380" spans="2:16">
      <c r="B1380" s="44">
        <v>363.09186080703375</v>
      </c>
      <c r="C1380" s="44">
        <v>364.10955833031721</v>
      </c>
      <c r="D1380" s="44">
        <v>361.32031326650321</v>
      </c>
      <c r="E1380" s="44">
        <v>361.55589139689295</v>
      </c>
      <c r="F1380" s="44">
        <v>3143811.5616881028</v>
      </c>
      <c r="G1380" s="44" t="s">
        <v>1202</v>
      </c>
      <c r="H1380" s="25">
        <f t="shared" si="45"/>
        <v>4.2482212202559211E-3</v>
      </c>
      <c r="J1380" s="44">
        <v>278.30667</v>
      </c>
      <c r="K1380" s="44">
        <v>280.12</v>
      </c>
      <c r="L1380" s="44">
        <v>277.42</v>
      </c>
      <c r="M1380" s="44">
        <v>277.68331999999998</v>
      </c>
      <c r="N1380" s="44">
        <v>725332</v>
      </c>
      <c r="O1380" s="44" t="s">
        <v>1202</v>
      </c>
      <c r="P1380" s="25">
        <f t="shared" si="43"/>
        <v>2.2448233476897173E-3</v>
      </c>
    </row>
    <row r="1381" spans="2:16">
      <c r="B1381" s="44">
        <v>359.46395759903243</v>
      </c>
      <c r="C1381" s="44">
        <v>362.27204891327762</v>
      </c>
      <c r="D1381" s="44">
        <v>359.03049383911537</v>
      </c>
      <c r="E1381" s="44">
        <v>361.12242763697589</v>
      </c>
      <c r="F1381" s="44">
        <v>3785849.0876239748</v>
      </c>
      <c r="G1381" s="44" t="s">
        <v>1203</v>
      </c>
      <c r="H1381" s="25">
        <f t="shared" si="45"/>
        <v>-4.5925423374996166E-3</v>
      </c>
      <c r="J1381" s="44">
        <v>274.99666999999999</v>
      </c>
      <c r="K1381" s="44">
        <v>281.00333000000001</v>
      </c>
      <c r="L1381" s="44">
        <v>274.69333</v>
      </c>
      <c r="M1381" s="44">
        <v>280</v>
      </c>
      <c r="N1381" s="44">
        <v>507030</v>
      </c>
      <c r="O1381" s="44" t="s">
        <v>1203</v>
      </c>
      <c r="P1381" s="25">
        <f t="shared" si="43"/>
        <v>-1.7869035714285775E-2</v>
      </c>
    </row>
    <row r="1382" spans="2:16">
      <c r="B1382" s="44">
        <v>359.73722823028447</v>
      </c>
      <c r="C1382" s="44">
        <v>360.89627263180176</v>
      </c>
      <c r="D1382" s="44">
        <v>356.61817378392487</v>
      </c>
      <c r="E1382" s="44">
        <v>356.73125128651191</v>
      </c>
      <c r="F1382" s="44">
        <v>5069139.8986169314</v>
      </c>
      <c r="G1382" s="44" t="s">
        <v>1204</v>
      </c>
      <c r="H1382" s="25">
        <f t="shared" si="45"/>
        <v>8.4264468922525815E-3</v>
      </c>
      <c r="J1382" s="44">
        <v>277.55333999999999</v>
      </c>
      <c r="K1382" s="44">
        <v>278.97000000000003</v>
      </c>
      <c r="L1382" s="44">
        <v>273.24666999999999</v>
      </c>
      <c r="M1382" s="44">
        <v>273.89334000000002</v>
      </c>
      <c r="N1382" s="44">
        <v>1078673</v>
      </c>
      <c r="O1382" s="44" t="s">
        <v>1204</v>
      </c>
      <c r="P1382" s="25">
        <f t="shared" si="43"/>
        <v>1.3362865997398776E-2</v>
      </c>
    </row>
    <row r="1383" spans="2:16">
      <c r="B1383" s="44">
        <v>355.93970876840257</v>
      </c>
      <c r="C1383" s="44">
        <v>356.04336314577398</v>
      </c>
      <c r="D1383" s="44">
        <v>351.12449178323709</v>
      </c>
      <c r="E1383" s="44">
        <v>352.48142181428176</v>
      </c>
      <c r="F1383" s="44">
        <v>5397646.6232096665</v>
      </c>
      <c r="G1383" s="44" t="s">
        <v>1205</v>
      </c>
      <c r="H1383" s="25">
        <f t="shared" si="45"/>
        <v>9.81126022563239E-3</v>
      </c>
      <c r="J1383" s="44">
        <v>272.32</v>
      </c>
      <c r="K1383" s="44">
        <v>272.34332000000001</v>
      </c>
      <c r="L1383" s="44">
        <v>265.90332000000001</v>
      </c>
      <c r="M1383" s="44">
        <v>267.24666999999999</v>
      </c>
      <c r="N1383" s="44">
        <v>491266</v>
      </c>
      <c r="O1383" s="44" t="s">
        <v>1205</v>
      </c>
      <c r="P1383" s="25">
        <f t="shared" si="43"/>
        <v>1.8983697720162507E-2</v>
      </c>
    </row>
    <row r="1384" spans="2:16">
      <c r="B1384" s="44">
        <v>356.88202128996136</v>
      </c>
      <c r="C1384" s="44">
        <v>360.40627012059122</v>
      </c>
      <c r="D1384" s="44">
        <v>356.70298191086516</v>
      </c>
      <c r="E1384" s="44">
        <v>360.19896136584828</v>
      </c>
      <c r="F1384" s="44">
        <v>3319822.1698519802</v>
      </c>
      <c r="G1384" s="44" t="s">
        <v>1206</v>
      </c>
      <c r="H1384" s="25">
        <f t="shared" si="45"/>
        <v>-9.2086330935250427E-3</v>
      </c>
      <c r="J1384" s="44">
        <v>271.54000000000002</v>
      </c>
      <c r="K1384" s="44">
        <v>274.66665999999998</v>
      </c>
      <c r="L1384" s="44">
        <v>271.19</v>
      </c>
      <c r="M1384" s="44">
        <v>273.88666000000001</v>
      </c>
      <c r="N1384" s="44">
        <v>529383</v>
      </c>
      <c r="O1384" s="44" t="s">
        <v>1206</v>
      </c>
      <c r="P1384" s="25">
        <f t="shared" si="43"/>
        <v>-8.5679967034538729E-3</v>
      </c>
    </row>
    <row r="1385" spans="2:16">
      <c r="B1385" s="44">
        <v>359.99165261110534</v>
      </c>
      <c r="C1385" s="44">
        <v>360.67011762662764</v>
      </c>
      <c r="D1385" s="44">
        <v>358.07875819234101</v>
      </c>
      <c r="E1385" s="44">
        <v>359.86915198330269</v>
      </c>
      <c r="F1385" s="44">
        <v>4013092.1679194327</v>
      </c>
      <c r="G1385" s="44" t="s">
        <v>1207</v>
      </c>
      <c r="H1385" s="25">
        <f t="shared" si="45"/>
        <v>3.4040324692319324E-4</v>
      </c>
      <c r="J1385" s="44">
        <v>272.33667000000003</v>
      </c>
      <c r="K1385" s="44">
        <v>276.26</v>
      </c>
      <c r="L1385" s="44">
        <v>270.53332999999998</v>
      </c>
      <c r="M1385" s="44">
        <v>276.26</v>
      </c>
      <c r="N1385" s="44">
        <v>682081</v>
      </c>
      <c r="O1385" s="44" t="s">
        <v>1207</v>
      </c>
      <c r="P1385" s="25">
        <f t="shared" si="43"/>
        <v>-1.4201585462969568E-2</v>
      </c>
    </row>
    <row r="1386" spans="2:16">
      <c r="B1386" s="44">
        <v>360.8585801309394</v>
      </c>
      <c r="C1386" s="44">
        <v>361.65012264904885</v>
      </c>
      <c r="D1386" s="44">
        <v>357.89971881324482</v>
      </c>
      <c r="E1386" s="44">
        <v>357.89971881324482</v>
      </c>
      <c r="F1386" s="44">
        <v>5484294.0975156799</v>
      </c>
      <c r="G1386" s="44" t="s">
        <v>1208</v>
      </c>
      <c r="H1386" s="25">
        <f t="shared" si="45"/>
        <v>8.2672915405070935E-3</v>
      </c>
      <c r="J1386" s="44">
        <v>277.79333000000003</v>
      </c>
      <c r="K1386" s="44">
        <v>279.81168000000002</v>
      </c>
      <c r="L1386" s="44">
        <v>273.83667000000003</v>
      </c>
      <c r="M1386" s="44">
        <v>274.32272</v>
      </c>
      <c r="N1386" s="44">
        <v>362269</v>
      </c>
      <c r="O1386" s="44" t="s">
        <v>1208</v>
      </c>
      <c r="P1386" s="25">
        <f t="shared" si="43"/>
        <v>1.2651558718869582E-2</v>
      </c>
    </row>
    <row r="1387" spans="2:16">
      <c r="B1387" s="44">
        <v>355.40259063111404</v>
      </c>
      <c r="C1387" s="44">
        <v>357.18356129686015</v>
      </c>
      <c r="D1387" s="44">
        <v>352.58507619165323</v>
      </c>
      <c r="E1387" s="44">
        <v>352.62276869251559</v>
      </c>
      <c r="F1387" s="44">
        <v>7628245.232387607</v>
      </c>
      <c r="G1387" s="44" t="s">
        <v>1209</v>
      </c>
      <c r="H1387" s="25">
        <f t="shared" si="45"/>
        <v>7.8832740974319471E-3</v>
      </c>
      <c r="J1387" s="44">
        <v>273.52999999999997</v>
      </c>
      <c r="K1387" s="44">
        <v>275.69</v>
      </c>
      <c r="L1387" s="44">
        <v>271.07</v>
      </c>
      <c r="M1387" s="44">
        <v>271.07</v>
      </c>
      <c r="N1387" s="44">
        <v>395502</v>
      </c>
      <c r="O1387" s="44" t="s">
        <v>1209</v>
      </c>
      <c r="P1387" s="25">
        <f t="shared" si="43"/>
        <v>9.0751466410889936E-3</v>
      </c>
    </row>
    <row r="1388" spans="2:16">
      <c r="B1388" s="44">
        <v>351.22814616060862</v>
      </c>
      <c r="C1388" s="44">
        <v>357.39087005160303</v>
      </c>
      <c r="D1388" s="44">
        <v>350.66275864767329</v>
      </c>
      <c r="E1388" s="44">
        <v>356.2318256500858</v>
      </c>
      <c r="F1388" s="44">
        <v>8179283.2246887665</v>
      </c>
      <c r="G1388" s="44" t="s">
        <v>1210</v>
      </c>
      <c r="H1388" s="25">
        <f t="shared" si="45"/>
        <v>-1.4046132684372048E-2</v>
      </c>
      <c r="J1388" s="44">
        <v>270.59667999999999</v>
      </c>
      <c r="K1388" s="44">
        <v>275.16000000000003</v>
      </c>
      <c r="L1388" s="44">
        <v>268.08999999999997</v>
      </c>
      <c r="M1388" s="44">
        <v>274.68331999999998</v>
      </c>
      <c r="N1388" s="44">
        <v>569458</v>
      </c>
      <c r="O1388" s="44" t="s">
        <v>1210</v>
      </c>
      <c r="P1388" s="25">
        <f t="shared" ref="P1388:P1451" si="46">J1388/M1388-1</f>
        <v>-1.487764164201888E-2</v>
      </c>
    </row>
    <row r="1389" spans="2:16">
      <c r="B1389" s="44">
        <v>358.88914696088159</v>
      </c>
      <c r="C1389" s="44">
        <v>359.71838197985329</v>
      </c>
      <c r="D1389" s="44">
        <v>355.20470500158666</v>
      </c>
      <c r="E1389" s="44">
        <v>357.84318006195127</v>
      </c>
      <c r="F1389" s="44">
        <v>7515023.7718221555</v>
      </c>
      <c r="G1389" s="44" t="s">
        <v>1211</v>
      </c>
      <c r="H1389" s="25">
        <f t="shared" si="45"/>
        <v>2.9229756418698294E-3</v>
      </c>
      <c r="J1389" s="44">
        <v>278.91665999999998</v>
      </c>
      <c r="K1389" s="44">
        <v>280.27166999999997</v>
      </c>
      <c r="L1389" s="44">
        <v>273.66332999999997</v>
      </c>
      <c r="M1389" s="44">
        <v>274.38666000000001</v>
      </c>
      <c r="N1389" s="44">
        <v>484667</v>
      </c>
      <c r="O1389" s="44" t="s">
        <v>1211</v>
      </c>
      <c r="P1389" s="25">
        <f t="shared" si="46"/>
        <v>1.6509548970055521E-2</v>
      </c>
    </row>
    <row r="1390" spans="2:16">
      <c r="B1390" s="44">
        <v>362.06474015853468</v>
      </c>
      <c r="C1390" s="44">
        <v>366.23918462904015</v>
      </c>
      <c r="D1390" s="44">
        <v>361.93281640551641</v>
      </c>
      <c r="E1390" s="44">
        <v>366.00360649865047</v>
      </c>
      <c r="F1390" s="44">
        <v>6306503.2715149242</v>
      </c>
      <c r="G1390" s="44" t="s">
        <v>1212</v>
      </c>
      <c r="H1390" s="25">
        <f t="shared" si="45"/>
        <v>-1.0761823845936158E-2</v>
      </c>
      <c r="J1390" s="44">
        <v>278.26334000000003</v>
      </c>
      <c r="K1390" s="44">
        <v>287.33334000000002</v>
      </c>
      <c r="L1390" s="44">
        <v>277.68668000000002</v>
      </c>
      <c r="M1390" s="44">
        <v>286.34332000000001</v>
      </c>
      <c r="N1390" s="44">
        <v>502795</v>
      </c>
      <c r="O1390" s="44" t="s">
        <v>1212</v>
      </c>
      <c r="P1390" s="25">
        <f t="shared" si="46"/>
        <v>-2.8217805115900663E-2</v>
      </c>
    </row>
    <row r="1391" spans="2:16">
      <c r="B1391" s="44">
        <v>365.64552774045808</v>
      </c>
      <c r="C1391" s="44">
        <v>366.25803087947133</v>
      </c>
      <c r="D1391" s="44">
        <v>363.10128393224932</v>
      </c>
      <c r="E1391" s="44">
        <v>363.75147957212488</v>
      </c>
      <c r="F1391" s="44">
        <v>3731904.1395976967</v>
      </c>
      <c r="G1391" s="44" t="s">
        <v>1213</v>
      </c>
      <c r="H1391" s="25">
        <f t="shared" si="45"/>
        <v>5.2069840940884848E-3</v>
      </c>
      <c r="J1391" s="44">
        <v>285.69666000000001</v>
      </c>
      <c r="K1391" s="44">
        <v>287.75833</v>
      </c>
      <c r="L1391" s="44">
        <v>281.76666</v>
      </c>
      <c r="M1391" s="44">
        <v>281.76666</v>
      </c>
      <c r="N1391" s="44">
        <v>490596</v>
      </c>
      <c r="O1391" s="44" t="s">
        <v>1213</v>
      </c>
      <c r="P1391" s="25">
        <f t="shared" si="46"/>
        <v>1.3947711201885982E-2</v>
      </c>
    </row>
    <row r="1392" spans="2:16">
      <c r="B1392" s="44">
        <v>363.05416830617139</v>
      </c>
      <c r="C1392" s="44">
        <v>363.13897643311174</v>
      </c>
      <c r="D1392" s="44">
        <v>358.33318257316182</v>
      </c>
      <c r="E1392" s="44">
        <v>360.20838449106384</v>
      </c>
      <c r="F1392" s="44">
        <v>5027301.3375259861</v>
      </c>
      <c r="G1392" s="44" t="s">
        <v>1214</v>
      </c>
      <c r="H1392" s="25">
        <f t="shared" si="45"/>
        <v>7.9003819389944496E-3</v>
      </c>
      <c r="J1392" s="44">
        <v>280.82</v>
      </c>
      <c r="K1392" s="44">
        <v>280.89666999999997</v>
      </c>
      <c r="L1392" s="44">
        <v>275.22000000000003</v>
      </c>
      <c r="M1392" s="44">
        <v>278.08667000000003</v>
      </c>
      <c r="N1392" s="44">
        <v>421267</v>
      </c>
      <c r="O1392" s="44" t="s">
        <v>1214</v>
      </c>
      <c r="P1392" s="25">
        <f t="shared" si="46"/>
        <v>9.8290579695889946E-3</v>
      </c>
    </row>
    <row r="1393" spans="2:16">
      <c r="B1393" s="44">
        <v>360.12357636412361</v>
      </c>
      <c r="C1393" s="44">
        <v>361.76320015163589</v>
      </c>
      <c r="D1393" s="44">
        <v>359.43568822338563</v>
      </c>
      <c r="E1393" s="44">
        <v>361.58416077253975</v>
      </c>
      <c r="F1393" s="44">
        <v>4680677.4812922971</v>
      </c>
      <c r="G1393" s="44" t="s">
        <v>1215</v>
      </c>
      <c r="H1393" s="25">
        <f t="shared" si="45"/>
        <v>-4.0394037318878251E-3</v>
      </c>
      <c r="J1393" s="44">
        <v>279.46667000000002</v>
      </c>
      <c r="K1393" s="44">
        <v>286.99335000000002</v>
      </c>
      <c r="L1393" s="44">
        <v>278.84332000000001</v>
      </c>
      <c r="M1393" s="44">
        <v>284.70999999999998</v>
      </c>
      <c r="N1393" s="44">
        <v>489466</v>
      </c>
      <c r="O1393" s="44" t="s">
        <v>1215</v>
      </c>
      <c r="P1393" s="25">
        <f t="shared" si="46"/>
        <v>-1.8416388605949741E-2</v>
      </c>
    </row>
    <row r="1394" spans="2:16">
      <c r="B1394" s="44">
        <v>360.0576144876145</v>
      </c>
      <c r="C1394" s="44">
        <v>360.86800325615502</v>
      </c>
      <c r="D1394" s="44">
        <v>356.61817378392487</v>
      </c>
      <c r="E1394" s="44">
        <v>360.45338574666914</v>
      </c>
      <c r="F1394" s="44">
        <v>5821472.0429752283</v>
      </c>
      <c r="G1394" s="44" t="s">
        <v>1216</v>
      </c>
      <c r="H1394" s="25">
        <f t="shared" si="45"/>
        <v>-1.0979818048727497E-3</v>
      </c>
      <c r="J1394" s="44">
        <v>282.99666999999999</v>
      </c>
      <c r="K1394" s="44">
        <v>287.36</v>
      </c>
      <c r="L1394" s="44">
        <v>278.03500000000003</v>
      </c>
      <c r="M1394" s="44">
        <v>287.24</v>
      </c>
      <c r="N1394" s="44">
        <v>656972</v>
      </c>
      <c r="O1394" s="44" t="s">
        <v>1216</v>
      </c>
      <c r="P1394" s="25">
        <f t="shared" si="46"/>
        <v>-1.4772768416655091E-2</v>
      </c>
    </row>
    <row r="1395" spans="2:16">
      <c r="B1395" s="44">
        <v>362.26262578806205</v>
      </c>
      <c r="C1395" s="44">
        <v>363.67609457040021</v>
      </c>
      <c r="D1395" s="44">
        <v>361.81031577771381</v>
      </c>
      <c r="E1395" s="44">
        <v>363.31801581220788</v>
      </c>
      <c r="F1395" s="44">
        <v>4436757.3436082732</v>
      </c>
      <c r="G1395" s="44" t="s">
        <v>1217</v>
      </c>
      <c r="H1395" s="25">
        <f t="shared" si="45"/>
        <v>-2.9048656499636172E-3</v>
      </c>
      <c r="J1395" s="44">
        <v>289.18331999999998</v>
      </c>
      <c r="K1395" s="44">
        <v>291.66332999999997</v>
      </c>
      <c r="L1395" s="44">
        <v>286.71334999999999</v>
      </c>
      <c r="M1395" s="44">
        <v>291.15667999999999</v>
      </c>
      <c r="N1395" s="44">
        <v>377836</v>
      </c>
      <c r="O1395" s="44" t="s">
        <v>1217</v>
      </c>
      <c r="P1395" s="25">
        <f t="shared" si="46"/>
        <v>-6.7776566211704692E-3</v>
      </c>
    </row>
    <row r="1396" spans="2:16">
      <c r="B1396" s="44">
        <v>361.44281389430586</v>
      </c>
      <c r="C1396" s="44">
        <v>362.56416579496084</v>
      </c>
      <c r="D1396" s="44">
        <v>360.65127137619652</v>
      </c>
      <c r="E1396" s="44">
        <v>361.76320015163589</v>
      </c>
      <c r="F1396" s="44">
        <v>5538720.8389911726</v>
      </c>
      <c r="G1396" s="44" t="s">
        <v>1218</v>
      </c>
      <c r="H1396" s="25">
        <f t="shared" si="45"/>
        <v>-8.8562423484683794E-4</v>
      </c>
      <c r="J1396" s="44">
        <v>288.33334000000002</v>
      </c>
      <c r="K1396" s="44">
        <v>288.63666000000001</v>
      </c>
      <c r="L1396" s="44">
        <v>285.08999999999997</v>
      </c>
      <c r="M1396" s="44">
        <v>285.65667999999999</v>
      </c>
      <c r="N1396" s="44">
        <v>477669</v>
      </c>
      <c r="O1396" s="44" t="s">
        <v>1218</v>
      </c>
      <c r="P1396" s="25">
        <f t="shared" si="46"/>
        <v>9.3701992195667216E-3</v>
      </c>
    </row>
    <row r="1397" spans="2:16">
      <c r="J1397" s="44">
        <v>287.74</v>
      </c>
      <c r="K1397" s="44">
        <v>291.23334</v>
      </c>
      <c r="L1397" s="44">
        <v>285.94</v>
      </c>
      <c r="M1397" s="44">
        <v>291.23334</v>
      </c>
      <c r="N1397" s="44">
        <v>384835</v>
      </c>
      <c r="O1397" s="44" t="s">
        <v>1219</v>
      </c>
      <c r="P1397" s="25">
        <f t="shared" si="46"/>
        <v>-1.1994986563008125E-2</v>
      </c>
    </row>
    <row r="1398" spans="2:16">
      <c r="J1398" s="44">
        <v>289.59667999999999</v>
      </c>
      <c r="K1398" s="44">
        <v>291.94333</v>
      </c>
      <c r="L1398" s="44">
        <v>286.99335000000002</v>
      </c>
      <c r="M1398" s="44">
        <v>287.52334999999999</v>
      </c>
      <c r="N1398" s="44">
        <v>570701</v>
      </c>
      <c r="O1398" s="44" t="s">
        <v>1220</v>
      </c>
      <c r="P1398" s="25">
        <f t="shared" si="46"/>
        <v>7.2109969503346694E-3</v>
      </c>
    </row>
    <row r="1399" spans="2:16">
      <c r="J1399" s="44">
        <v>287.12668000000002</v>
      </c>
      <c r="K1399" s="44">
        <v>289</v>
      </c>
      <c r="L1399" s="44">
        <v>286.16665999999998</v>
      </c>
      <c r="M1399" s="44">
        <v>289</v>
      </c>
      <c r="N1399" s="44">
        <v>510362</v>
      </c>
      <c r="O1399" s="44" t="s">
        <v>1221</v>
      </c>
      <c r="P1399" s="25">
        <f t="shared" si="46"/>
        <v>-6.4820761245674152E-3</v>
      </c>
    </row>
    <row r="1400" spans="2:16">
      <c r="J1400" s="44">
        <v>288.64666999999997</v>
      </c>
      <c r="K1400" s="44">
        <v>290.69</v>
      </c>
      <c r="L1400" s="44">
        <v>286.72467</v>
      </c>
      <c r="M1400" s="44">
        <v>288.81331999999998</v>
      </c>
      <c r="N1400" s="44">
        <v>584516</v>
      </c>
      <c r="O1400" s="44" t="s">
        <v>1222</v>
      </c>
      <c r="P1400" s="25">
        <f t="shared" si="46"/>
        <v>-5.7701632320839025E-4</v>
      </c>
    </row>
    <row r="1401" spans="2:16">
      <c r="J1401" s="44">
        <v>291.84332000000001</v>
      </c>
      <c r="K1401" s="44">
        <v>294.30500000000001</v>
      </c>
      <c r="L1401" s="44">
        <v>280.90667999999999</v>
      </c>
      <c r="M1401" s="44">
        <v>283.73</v>
      </c>
      <c r="N1401" s="44">
        <v>833546</v>
      </c>
      <c r="O1401" s="44" t="s">
        <v>1223</v>
      </c>
      <c r="P1401" s="25">
        <f t="shared" si="46"/>
        <v>2.8595213759560201E-2</v>
      </c>
    </row>
    <row r="1402" spans="2:16">
      <c r="J1402" s="44">
        <v>286.55333999999999</v>
      </c>
      <c r="K1402" s="44">
        <v>295.96167000000003</v>
      </c>
      <c r="L1402" s="44">
        <v>286.18668000000002</v>
      </c>
      <c r="M1402" s="44">
        <v>294.96334999999999</v>
      </c>
      <c r="N1402" s="44">
        <v>1214466</v>
      </c>
      <c r="O1402" s="44" t="s">
        <v>1224</v>
      </c>
      <c r="P1402" s="25">
        <f t="shared" si="46"/>
        <v>-2.8512050734438743E-2</v>
      </c>
    </row>
    <row r="1403" spans="2:16">
      <c r="J1403" s="44">
        <v>297.12668000000002</v>
      </c>
      <c r="K1403" s="44">
        <v>297.93</v>
      </c>
      <c r="L1403" s="44">
        <v>273.33334000000002</v>
      </c>
      <c r="M1403" s="44">
        <v>280.30667</v>
      </c>
      <c r="N1403" s="44">
        <v>2097929</v>
      </c>
      <c r="O1403" s="44" t="s">
        <v>1225</v>
      </c>
      <c r="P1403" s="25">
        <f t="shared" si="46"/>
        <v>6.0005742995698386E-2</v>
      </c>
    </row>
    <row r="1404" spans="2:16">
      <c r="J1404" s="44">
        <v>270.37</v>
      </c>
      <c r="K1404" s="44">
        <v>274.84332000000001</v>
      </c>
      <c r="L1404" s="44">
        <v>268.88333</v>
      </c>
      <c r="M1404" s="44">
        <v>268.88666000000001</v>
      </c>
      <c r="N1404" s="44">
        <v>693167</v>
      </c>
      <c r="O1404" s="44" t="s">
        <v>1226</v>
      </c>
      <c r="P1404" s="25">
        <f t="shared" si="46"/>
        <v>5.5165994475143698E-3</v>
      </c>
    </row>
    <row r="1405" spans="2:16">
      <c r="J1405" s="44">
        <v>270.39666999999997</v>
      </c>
      <c r="K1405" s="44">
        <v>271.89334000000002</v>
      </c>
      <c r="L1405" s="44">
        <v>267.50664999999998</v>
      </c>
      <c r="M1405" s="44">
        <v>269.58999999999997</v>
      </c>
      <c r="N1405" s="44">
        <v>519325</v>
      </c>
      <c r="O1405" s="44" t="s">
        <v>1227</v>
      </c>
      <c r="P1405" s="25">
        <f t="shared" si="46"/>
        <v>2.9922103935606792E-3</v>
      </c>
    </row>
    <row r="1406" spans="2:16">
      <c r="J1406" s="44">
        <v>270.85665999999998</v>
      </c>
      <c r="K1406" s="44">
        <v>271.13333</v>
      </c>
      <c r="L1406" s="44">
        <v>267.28332999999998</v>
      </c>
      <c r="M1406" s="44">
        <v>269.21667000000002</v>
      </c>
      <c r="N1406" s="44">
        <v>539484</v>
      </c>
      <c r="O1406" s="44" t="s">
        <v>1228</v>
      </c>
      <c r="P1406" s="25">
        <f t="shared" si="46"/>
        <v>6.0917104427447022E-3</v>
      </c>
    </row>
    <row r="1407" spans="2:16">
      <c r="J1407" s="44">
        <v>268.24</v>
      </c>
      <c r="K1407" s="44">
        <v>269.33334000000002</v>
      </c>
      <c r="L1407" s="44">
        <v>263.10000000000002</v>
      </c>
      <c r="M1407" s="44">
        <v>264.22000000000003</v>
      </c>
      <c r="N1407" s="44">
        <v>412328</v>
      </c>
      <c r="O1407" s="44" t="s">
        <v>1229</v>
      </c>
      <c r="P1407" s="25">
        <f t="shared" si="46"/>
        <v>1.5214593899023576E-2</v>
      </c>
    </row>
    <row r="1408" spans="2:16">
      <c r="J1408" s="44">
        <v>261.94333</v>
      </c>
      <c r="K1408" s="44">
        <v>266.74831999999998</v>
      </c>
      <c r="L1408" s="44">
        <v>261.60000000000002</v>
      </c>
      <c r="M1408" s="44">
        <v>264</v>
      </c>
      <c r="N1408" s="44">
        <v>371013</v>
      </c>
      <c r="O1408" s="44" t="s">
        <v>1230</v>
      </c>
      <c r="P1408" s="25">
        <f t="shared" si="46"/>
        <v>-7.7904166666666885E-3</v>
      </c>
    </row>
    <row r="1409" spans="10:16">
      <c r="J1409" s="44">
        <v>264.82333</v>
      </c>
      <c r="K1409" s="44">
        <v>265.60834</v>
      </c>
      <c r="L1409" s="44">
        <v>259.64999999999998</v>
      </c>
      <c r="M1409" s="44">
        <v>259.64999999999998</v>
      </c>
      <c r="N1409" s="44">
        <v>428782</v>
      </c>
      <c r="O1409" s="44" t="s">
        <v>1231</v>
      </c>
      <c r="P1409" s="25">
        <f t="shared" si="46"/>
        <v>1.9924244174850836E-2</v>
      </c>
    </row>
    <row r="1410" spans="10:16">
      <c r="J1410" s="44">
        <v>259.75333000000001</v>
      </c>
      <c r="K1410" s="44">
        <v>261.88666000000001</v>
      </c>
      <c r="L1410" s="44">
        <v>259.10500000000002</v>
      </c>
      <c r="M1410" s="44">
        <v>259.37668000000002</v>
      </c>
      <c r="N1410" s="44">
        <v>336195</v>
      </c>
      <c r="O1410" s="44" t="s">
        <v>1232</v>
      </c>
      <c r="P1410" s="25">
        <f t="shared" si="46"/>
        <v>1.4521351726761722E-3</v>
      </c>
    </row>
    <row r="1411" spans="10:16">
      <c r="J1411" s="44">
        <v>261.49335000000002</v>
      </c>
      <c r="K1411" s="44">
        <v>262.10665999999998</v>
      </c>
      <c r="L1411" s="44">
        <v>256.16003000000001</v>
      </c>
      <c r="M1411" s="44">
        <v>257.86</v>
      </c>
      <c r="N1411" s="44">
        <v>355327</v>
      </c>
      <c r="O1411" s="44" t="s">
        <v>1233</v>
      </c>
      <c r="P1411" s="25">
        <f t="shared" si="46"/>
        <v>1.4090397890328177E-2</v>
      </c>
    </row>
    <row r="1412" spans="10:16">
      <c r="J1412" s="44">
        <v>256.78332999999998</v>
      </c>
      <c r="K1412" s="44">
        <v>258.03332999999998</v>
      </c>
      <c r="L1412" s="44">
        <v>255.31666999999999</v>
      </c>
      <c r="M1412" s="44">
        <v>255.31666999999999</v>
      </c>
      <c r="N1412" s="44">
        <v>302023</v>
      </c>
      <c r="O1412" s="44" t="s">
        <v>1234</v>
      </c>
      <c r="P1412" s="25">
        <f t="shared" si="46"/>
        <v>5.7444741073897632E-3</v>
      </c>
    </row>
    <row r="1413" spans="10:16">
      <c r="J1413" s="44">
        <v>253.67334</v>
      </c>
      <c r="K1413" s="44">
        <v>257.005</v>
      </c>
      <c r="L1413" s="44">
        <v>253.19</v>
      </c>
      <c r="M1413" s="44">
        <v>255.79666</v>
      </c>
      <c r="N1413" s="44">
        <v>367031</v>
      </c>
      <c r="O1413" s="44" t="s">
        <v>1235</v>
      </c>
      <c r="P1413" s="25">
        <f t="shared" si="46"/>
        <v>-8.3008120590785106E-3</v>
      </c>
    </row>
    <row r="1414" spans="10:16">
      <c r="J1414" s="44">
        <v>255.61667</v>
      </c>
      <c r="K1414" s="44">
        <v>258.755</v>
      </c>
      <c r="L1414" s="44">
        <v>253.6</v>
      </c>
      <c r="M1414" s="44">
        <v>255.71</v>
      </c>
      <c r="N1414" s="44">
        <v>385267</v>
      </c>
      <c r="O1414" s="44" t="s">
        <v>1236</v>
      </c>
      <c r="P1414" s="25">
        <f t="shared" si="46"/>
        <v>-3.6498377067772925E-4</v>
      </c>
    </row>
    <row r="1415" spans="10:16">
      <c r="J1415" s="44">
        <v>255.31</v>
      </c>
      <c r="K1415" s="44">
        <v>256.87668000000002</v>
      </c>
      <c r="L1415" s="44">
        <v>250.07</v>
      </c>
      <c r="M1415" s="44">
        <v>250.07</v>
      </c>
      <c r="N1415" s="44">
        <v>565914</v>
      </c>
      <c r="O1415" s="44" t="s">
        <v>1237</v>
      </c>
      <c r="P1415" s="25">
        <f t="shared" si="46"/>
        <v>2.0954132842804007E-2</v>
      </c>
    </row>
    <row r="1416" spans="10:16">
      <c r="J1416" s="44">
        <v>249.2</v>
      </c>
      <c r="K1416" s="44">
        <v>252.69</v>
      </c>
      <c r="L1416" s="44">
        <v>248.62665999999999</v>
      </c>
      <c r="M1416" s="44">
        <v>249.99666999999999</v>
      </c>
      <c r="N1416" s="44">
        <v>452569</v>
      </c>
      <c r="O1416" s="44" t="s">
        <v>1238</v>
      </c>
      <c r="P1416" s="25">
        <f t="shared" si="46"/>
        <v>-3.18672244714302E-3</v>
      </c>
    </row>
    <row r="1417" spans="10:16">
      <c r="J1417" s="44">
        <v>246.31334000000001</v>
      </c>
      <c r="K1417" s="44">
        <v>247.97667000000001</v>
      </c>
      <c r="L1417" s="44">
        <v>242.42</v>
      </c>
      <c r="M1417" s="44">
        <v>242.85333</v>
      </c>
      <c r="N1417" s="44">
        <v>565101</v>
      </c>
      <c r="O1417" s="44" t="s">
        <v>1239</v>
      </c>
      <c r="P1417" s="25">
        <f t="shared" si="46"/>
        <v>1.4247323682981872E-2</v>
      </c>
    </row>
    <row r="1418" spans="10:16">
      <c r="J1418" s="44">
        <v>242.16333</v>
      </c>
      <c r="K1418" s="44">
        <v>242.99666999999999</v>
      </c>
      <c r="L1418" s="44">
        <v>238.17334</v>
      </c>
      <c r="M1418" s="44">
        <v>239.70334</v>
      </c>
      <c r="N1418" s="44">
        <v>480832</v>
      </c>
      <c r="O1418" s="44" t="s">
        <v>1240</v>
      </c>
      <c r="P1418" s="25">
        <f t="shared" si="46"/>
        <v>1.0262643816310701E-2</v>
      </c>
    </row>
    <row r="1419" spans="10:16">
      <c r="J1419" s="44">
        <v>241.31666999999999</v>
      </c>
      <c r="K1419" s="44">
        <v>244.71333000000001</v>
      </c>
      <c r="L1419" s="44">
        <v>239.10834</v>
      </c>
      <c r="M1419" s="44">
        <v>243.15</v>
      </c>
      <c r="N1419" s="44">
        <v>450350</v>
      </c>
      <c r="O1419" s="44" t="s">
        <v>1241</v>
      </c>
      <c r="P1419" s="25">
        <f t="shared" si="46"/>
        <v>-7.5399136335596584E-3</v>
      </c>
    </row>
    <row r="1420" spans="10:16">
      <c r="J1420" s="44">
        <v>243.58332999999999</v>
      </c>
      <c r="K1420" s="44">
        <v>243.94667000000001</v>
      </c>
      <c r="L1420" s="44">
        <v>234.91667000000001</v>
      </c>
      <c r="M1420" s="44">
        <v>235.69333</v>
      </c>
      <c r="N1420" s="44">
        <v>569255</v>
      </c>
      <c r="O1420" s="44" t="s">
        <v>1242</v>
      </c>
      <c r="P1420" s="25">
        <f t="shared" si="46"/>
        <v>3.3475703364197917E-2</v>
      </c>
    </row>
    <row r="1421" spans="10:16">
      <c r="J1421" s="44">
        <v>234.83332999999999</v>
      </c>
      <c r="K1421" s="44">
        <v>238.14</v>
      </c>
      <c r="L1421" s="44">
        <v>231.20667</v>
      </c>
      <c r="M1421" s="44">
        <v>236.88310000000001</v>
      </c>
      <c r="N1421" s="44">
        <v>460034</v>
      </c>
      <c r="O1421" s="44" t="s">
        <v>1243</v>
      </c>
      <c r="P1421" s="25">
        <f t="shared" si="46"/>
        <v>-8.653086691283729E-3</v>
      </c>
    </row>
    <row r="1422" spans="10:16">
      <c r="J1422" s="44">
        <v>237.02332999999999</v>
      </c>
      <c r="K1422" s="44">
        <v>240.11332999999999</v>
      </c>
      <c r="L1422" s="44">
        <v>235.16333</v>
      </c>
      <c r="M1422" s="44">
        <v>237.33332999999999</v>
      </c>
      <c r="N1422" s="44">
        <v>484116</v>
      </c>
      <c r="O1422" s="44" t="s">
        <v>1244</v>
      </c>
      <c r="P1422" s="25">
        <f t="shared" si="46"/>
        <v>-1.3061797936261277E-3</v>
      </c>
    </row>
    <row r="1423" spans="10:16">
      <c r="J1423" s="44">
        <v>236.94</v>
      </c>
      <c r="K1423" s="44">
        <v>240.32666</v>
      </c>
      <c r="L1423" s="44">
        <v>235.88333</v>
      </c>
      <c r="M1423" s="44">
        <v>238.83667</v>
      </c>
      <c r="N1423" s="44">
        <v>335004</v>
      </c>
      <c r="O1423" s="44" t="s">
        <v>1245</v>
      </c>
      <c r="P1423" s="25">
        <f t="shared" si="46"/>
        <v>-7.9412847281784549E-3</v>
      </c>
    </row>
    <row r="1424" spans="10:16">
      <c r="J1424" s="44">
        <v>238.24332999999999</v>
      </c>
      <c r="K1424" s="44">
        <v>240.38499999999999</v>
      </c>
      <c r="L1424" s="44">
        <v>234.38</v>
      </c>
      <c r="M1424" s="44">
        <v>235.90665999999999</v>
      </c>
      <c r="N1424" s="44">
        <v>436566</v>
      </c>
      <c r="O1424" s="44" t="s">
        <v>1246</v>
      </c>
      <c r="P1424" s="25">
        <f t="shared" si="46"/>
        <v>9.90506160360205E-3</v>
      </c>
    </row>
    <row r="1425" spans="10:16">
      <c r="J1425" s="44">
        <v>235.83</v>
      </c>
      <c r="K1425" s="44">
        <v>238.24</v>
      </c>
      <c r="L1425" s="44">
        <v>231.79666</v>
      </c>
      <c r="M1425" s="44">
        <v>233.83332999999999</v>
      </c>
      <c r="N1425" s="44">
        <v>792568</v>
      </c>
      <c r="O1425" s="44" t="s">
        <v>1247</v>
      </c>
      <c r="P1425" s="25">
        <f t="shared" si="46"/>
        <v>8.5388597083231321E-3</v>
      </c>
    </row>
    <row r="1426" spans="10:16">
      <c r="J1426" s="44">
        <v>233.10667000000001</v>
      </c>
      <c r="K1426" s="44">
        <v>239.85667000000001</v>
      </c>
      <c r="L1426" s="44">
        <v>231.68665999999999</v>
      </c>
      <c r="M1426" s="44">
        <v>238.57333</v>
      </c>
      <c r="N1426" s="44">
        <v>646924</v>
      </c>
      <c r="O1426" s="44" t="s">
        <v>1248</v>
      </c>
      <c r="P1426" s="25">
        <f t="shared" si="46"/>
        <v>-2.2913961086932888E-2</v>
      </c>
    </row>
    <row r="1427" spans="10:16">
      <c r="J1427" s="44">
        <v>241.54666</v>
      </c>
      <c r="K1427" s="44">
        <v>242.99</v>
      </c>
      <c r="L1427" s="44">
        <v>237.6</v>
      </c>
      <c r="M1427" s="44">
        <v>241.44333</v>
      </c>
      <c r="N1427" s="44">
        <v>352153</v>
      </c>
      <c r="O1427" s="44" t="s">
        <v>1249</v>
      </c>
      <c r="P1427" s="25">
        <f t="shared" si="46"/>
        <v>4.2796792108523718E-4</v>
      </c>
    </row>
    <row r="1428" spans="10:16">
      <c r="J1428" s="44">
        <v>242.21</v>
      </c>
      <c r="K1428" s="44">
        <v>247.16667000000001</v>
      </c>
      <c r="L1428" s="44">
        <v>240.50333000000001</v>
      </c>
      <c r="M1428" s="44">
        <v>246.80332999999999</v>
      </c>
      <c r="N1428" s="44">
        <v>425825</v>
      </c>
      <c r="O1428" s="44" t="s">
        <v>1250</v>
      </c>
      <c r="P1428" s="25">
        <f t="shared" si="46"/>
        <v>-1.8611296695226875E-2</v>
      </c>
    </row>
    <row r="1429" spans="10:16">
      <c r="J1429" s="44">
        <v>245.02</v>
      </c>
      <c r="K1429" s="44">
        <v>245.85</v>
      </c>
      <c r="L1429" s="44">
        <v>241.68333000000001</v>
      </c>
      <c r="M1429" s="44">
        <v>242.44</v>
      </c>
      <c r="N1429" s="44">
        <v>400920</v>
      </c>
      <c r="O1429" s="44" t="s">
        <v>1251</v>
      </c>
      <c r="P1429" s="25">
        <f t="shared" si="46"/>
        <v>1.0641808282461751E-2</v>
      </c>
    </row>
    <row r="1430" spans="10:16">
      <c r="J1430" s="44">
        <v>244.66333</v>
      </c>
      <c r="K1430" s="44">
        <v>245.47</v>
      </c>
      <c r="L1430" s="44">
        <v>240</v>
      </c>
      <c r="M1430" s="44">
        <v>240.37334000000001</v>
      </c>
      <c r="N1430" s="44">
        <v>489055</v>
      </c>
      <c r="O1430" s="44" t="s">
        <v>1252</v>
      </c>
      <c r="P1430" s="25">
        <f t="shared" si="46"/>
        <v>1.7847195533414739E-2</v>
      </c>
    </row>
    <row r="1431" spans="10:16">
      <c r="J1431" s="44">
        <v>244</v>
      </c>
      <c r="K1431" s="44">
        <v>246.32666</v>
      </c>
      <c r="L1431" s="44">
        <v>241.45230000000001</v>
      </c>
      <c r="M1431" s="44">
        <v>243.45334</v>
      </c>
      <c r="N1431" s="44">
        <v>497640</v>
      </c>
      <c r="O1431" s="44" t="s">
        <v>1253</v>
      </c>
      <c r="P1431" s="25">
        <f t="shared" si="46"/>
        <v>2.2454405431446833E-3</v>
      </c>
    </row>
    <row r="1432" spans="10:16">
      <c r="J1432" s="44">
        <v>239.93665999999999</v>
      </c>
      <c r="K1432" s="44">
        <v>242.53666999999999</v>
      </c>
      <c r="L1432" s="44">
        <v>237.61</v>
      </c>
      <c r="M1432" s="44">
        <v>240.32666</v>
      </c>
      <c r="N1432" s="44">
        <v>732710</v>
      </c>
      <c r="O1432" s="44" t="s">
        <v>1254</v>
      </c>
      <c r="P1432" s="25">
        <f t="shared" si="46"/>
        <v>-1.6227912458818272E-3</v>
      </c>
    </row>
    <row r="1433" spans="10:16">
      <c r="J1433" s="44">
        <v>234.26666</v>
      </c>
      <c r="K1433" s="44">
        <v>236.75</v>
      </c>
      <c r="L1433" s="44">
        <v>230.00333000000001</v>
      </c>
      <c r="M1433" s="44">
        <v>232.51334</v>
      </c>
      <c r="N1433" s="44">
        <v>696923</v>
      </c>
      <c r="O1433" s="44" t="s">
        <v>1255</v>
      </c>
      <c r="P1433" s="25">
        <f t="shared" si="46"/>
        <v>7.5407286308819543E-3</v>
      </c>
    </row>
    <row r="1434" spans="10:16">
      <c r="J1434" s="44">
        <v>228.3</v>
      </c>
      <c r="K1434" s="44">
        <v>236.85667000000001</v>
      </c>
      <c r="L1434" s="44">
        <v>227.46665999999999</v>
      </c>
      <c r="M1434" s="44">
        <v>235.11667</v>
      </c>
      <c r="N1434" s="44">
        <v>639192</v>
      </c>
      <c r="O1434" s="44" t="s">
        <v>1256</v>
      </c>
      <c r="P1434" s="25">
        <f t="shared" si="46"/>
        <v>-2.8992712426558209E-2</v>
      </c>
    </row>
    <row r="1435" spans="10:16">
      <c r="J1435" s="44">
        <v>237.79</v>
      </c>
      <c r="K1435" s="44">
        <v>239.48</v>
      </c>
      <c r="L1435" s="44">
        <v>229.08</v>
      </c>
      <c r="M1435" s="44">
        <v>237.41667000000001</v>
      </c>
      <c r="N1435" s="44">
        <v>759138</v>
      </c>
      <c r="O1435" s="44" t="s">
        <v>1257</v>
      </c>
      <c r="P1435" s="25">
        <f t="shared" si="46"/>
        <v>1.5724675103900854E-3</v>
      </c>
    </row>
    <row r="1436" spans="10:16">
      <c r="J1436" s="44">
        <v>236.39</v>
      </c>
      <c r="K1436" s="44">
        <v>242.41333</v>
      </c>
      <c r="L1436" s="44">
        <v>233.01</v>
      </c>
      <c r="M1436" s="44">
        <v>241.66667000000001</v>
      </c>
      <c r="N1436" s="44">
        <v>809226</v>
      </c>
      <c r="O1436" s="44" t="s">
        <v>1258</v>
      </c>
      <c r="P1436" s="25">
        <f t="shared" si="46"/>
        <v>-2.1834496250558777E-2</v>
      </c>
    </row>
    <row r="1437" spans="10:16">
      <c r="J1437" s="44">
        <v>242.38333</v>
      </c>
      <c r="K1437" s="44">
        <v>248.68665999999999</v>
      </c>
      <c r="L1437" s="44">
        <v>240.49367000000001</v>
      </c>
      <c r="M1437" s="44">
        <v>248.68665999999999</v>
      </c>
      <c r="N1437" s="44">
        <v>507117</v>
      </c>
      <c r="O1437" s="44" t="s">
        <v>1259</v>
      </c>
      <c r="P1437" s="25">
        <f t="shared" si="46"/>
        <v>-2.5346474153458809E-2</v>
      </c>
    </row>
    <row r="1438" spans="10:16">
      <c r="J1438" s="44">
        <v>250</v>
      </c>
      <c r="K1438" s="44">
        <v>253.33332999999999</v>
      </c>
      <c r="L1438" s="44">
        <v>248.92667</v>
      </c>
      <c r="M1438" s="44">
        <v>253.33332999999999</v>
      </c>
      <c r="N1438" s="44">
        <v>390993</v>
      </c>
      <c r="O1438" s="44" t="s">
        <v>1260</v>
      </c>
      <c r="P1438" s="25">
        <f t="shared" si="46"/>
        <v>-1.3157881752077327E-2</v>
      </c>
    </row>
    <row r="1439" spans="10:16">
      <c r="J1439" s="44">
        <v>253.07</v>
      </c>
      <c r="K1439" s="44">
        <v>253.59</v>
      </c>
      <c r="L1439" s="44">
        <v>248.55500000000001</v>
      </c>
      <c r="M1439" s="44">
        <v>249.68</v>
      </c>
      <c r="N1439" s="44">
        <v>559227</v>
      </c>
      <c r="O1439" s="44" t="s">
        <v>1261</v>
      </c>
      <c r="P1439" s="25">
        <f t="shared" si="46"/>
        <v>1.3577379045177862E-2</v>
      </c>
    </row>
    <row r="1440" spans="10:16">
      <c r="J1440" s="44">
        <v>245.6</v>
      </c>
      <c r="K1440" s="44">
        <v>249.23473000000001</v>
      </c>
      <c r="L1440" s="44">
        <v>242.10333</v>
      </c>
      <c r="M1440" s="44">
        <v>247.96665999999999</v>
      </c>
      <c r="N1440" s="44">
        <v>669139</v>
      </c>
      <c r="O1440" s="44" t="s">
        <v>1262</v>
      </c>
      <c r="P1440" s="25">
        <f t="shared" si="46"/>
        <v>-9.544266959114589E-3</v>
      </c>
    </row>
    <row r="1441" spans="10:16">
      <c r="J1441" s="44">
        <v>247.26334</v>
      </c>
      <c r="K1441" s="44">
        <v>252.96333000000001</v>
      </c>
      <c r="L1441" s="44">
        <v>243.96665999999999</v>
      </c>
      <c r="M1441" s="44">
        <v>251.62</v>
      </c>
      <c r="N1441" s="44">
        <v>445415</v>
      </c>
      <c r="O1441" s="44" t="s">
        <v>1263</v>
      </c>
      <c r="P1441" s="25">
        <f t="shared" si="46"/>
        <v>-1.7314442413162712E-2</v>
      </c>
    </row>
    <row r="1442" spans="10:16">
      <c r="J1442" s="44">
        <v>252.90333999999999</v>
      </c>
      <c r="K1442" s="44">
        <v>253.22333</v>
      </c>
      <c r="L1442" s="44">
        <v>246.095</v>
      </c>
      <c r="M1442" s="44">
        <v>247.91</v>
      </c>
      <c r="N1442" s="44">
        <v>440223</v>
      </c>
      <c r="O1442" s="44" t="s">
        <v>1264</v>
      </c>
      <c r="P1442" s="25">
        <f t="shared" si="46"/>
        <v>2.0141744988100507E-2</v>
      </c>
    </row>
    <row r="1443" spans="10:16">
      <c r="J1443" s="44">
        <v>248.23666</v>
      </c>
      <c r="K1443" s="44">
        <v>249.54333</v>
      </c>
      <c r="L1443" s="44">
        <v>244.03334000000001</v>
      </c>
      <c r="M1443" s="44">
        <v>247.33332999999999</v>
      </c>
      <c r="N1443" s="44">
        <v>702115</v>
      </c>
      <c r="O1443" s="44" t="s">
        <v>1265</v>
      </c>
      <c r="P1443" s="25">
        <f t="shared" si="46"/>
        <v>3.6522776772545118E-3</v>
      </c>
    </row>
    <row r="1444" spans="10:16">
      <c r="J1444" s="44">
        <v>247.13333</v>
      </c>
      <c r="K1444" s="44">
        <v>250.93</v>
      </c>
      <c r="L1444" s="44">
        <v>245.66667000000001</v>
      </c>
      <c r="M1444" s="44">
        <v>250.59666000000001</v>
      </c>
      <c r="N1444" s="44">
        <v>637077</v>
      </c>
      <c r="O1444" s="44" t="s">
        <v>1266</v>
      </c>
      <c r="P1444" s="25">
        <f t="shared" si="46"/>
        <v>-1.3820335833685915E-2</v>
      </c>
    </row>
    <row r="1445" spans="10:16">
      <c r="J1445" s="44">
        <v>250.05</v>
      </c>
      <c r="K1445" s="44">
        <v>257.75</v>
      </c>
      <c r="L1445" s="44">
        <v>249.89332999999999</v>
      </c>
      <c r="M1445" s="44">
        <v>257.75</v>
      </c>
      <c r="N1445" s="44">
        <v>746343</v>
      </c>
      <c r="O1445" s="44" t="s">
        <v>1267</v>
      </c>
      <c r="P1445" s="25">
        <f t="shared" si="46"/>
        <v>-2.9873908826382078E-2</v>
      </c>
    </row>
    <row r="1446" spans="10:16">
      <c r="J1446" s="44">
        <v>255.84334000000001</v>
      </c>
      <c r="K1446" s="44">
        <v>258.80667</v>
      </c>
      <c r="L1446" s="44">
        <v>252.59666000000001</v>
      </c>
      <c r="M1446" s="44">
        <v>258.19</v>
      </c>
      <c r="N1446" s="44">
        <v>643990</v>
      </c>
      <c r="O1446" s="44" t="s">
        <v>1268</v>
      </c>
      <c r="P1446" s="25">
        <f t="shared" si="46"/>
        <v>-9.0888880281961848E-3</v>
      </c>
    </row>
    <row r="1447" spans="10:16">
      <c r="J1447" s="44">
        <v>260.02</v>
      </c>
      <c r="K1447" s="44">
        <v>262.8</v>
      </c>
      <c r="L1447" s="44">
        <v>258.14</v>
      </c>
      <c r="M1447" s="44">
        <v>260.66665999999998</v>
      </c>
      <c r="N1447" s="44">
        <v>372731</v>
      </c>
      <c r="O1447" s="44" t="s">
        <v>1269</v>
      </c>
      <c r="P1447" s="25">
        <f t="shared" si="46"/>
        <v>-2.4807929023220598E-3</v>
      </c>
    </row>
    <row r="1448" spans="10:16">
      <c r="J1448" s="44">
        <v>263.98334</v>
      </c>
      <c r="K1448" s="44">
        <v>270.93</v>
      </c>
      <c r="L1448" s="44">
        <v>262.96334999999999</v>
      </c>
      <c r="M1448" s="44">
        <v>270</v>
      </c>
      <c r="N1448" s="44">
        <v>673287</v>
      </c>
      <c r="O1448" s="44" t="s">
        <v>1270</v>
      </c>
      <c r="P1448" s="25">
        <f t="shared" si="46"/>
        <v>-2.2283925925925985E-2</v>
      </c>
    </row>
    <row r="1449" spans="10:16">
      <c r="J1449" s="44">
        <v>269.27</v>
      </c>
      <c r="K1449" s="44">
        <v>269.47332999999998</v>
      </c>
      <c r="L1449" s="44">
        <v>264.59719999999999</v>
      </c>
      <c r="M1449" s="44">
        <v>266.42</v>
      </c>
      <c r="N1449" s="44">
        <v>430446</v>
      </c>
      <c r="O1449" s="44" t="s">
        <v>1271</v>
      </c>
      <c r="P1449" s="25">
        <f t="shared" si="46"/>
        <v>1.0697395090458528E-2</v>
      </c>
    </row>
    <row r="1450" spans="10:16">
      <c r="J1450" s="44">
        <v>266.27667000000002</v>
      </c>
      <c r="K1450" s="44">
        <v>266.8</v>
      </c>
      <c r="L1450" s="44">
        <v>262.74</v>
      </c>
      <c r="M1450" s="44">
        <v>264.66665999999998</v>
      </c>
      <c r="N1450" s="44">
        <v>427949</v>
      </c>
      <c r="O1450" s="44" t="s">
        <v>1272</v>
      </c>
      <c r="P1450" s="25">
        <f t="shared" si="46"/>
        <v>6.0831613622964742E-3</v>
      </c>
    </row>
    <row r="1451" spans="10:16">
      <c r="J1451" s="44">
        <v>262.69666000000001</v>
      </c>
      <c r="K1451" s="44">
        <v>264.83667000000003</v>
      </c>
      <c r="L1451" s="44">
        <v>259.63850000000002</v>
      </c>
      <c r="M1451" s="44">
        <v>262.33334000000002</v>
      </c>
      <c r="N1451" s="44">
        <v>560659</v>
      </c>
      <c r="O1451" s="44" t="s">
        <v>1273</v>
      </c>
      <c r="P1451" s="25">
        <f t="shared" si="46"/>
        <v>1.38495549212303E-3</v>
      </c>
    </row>
    <row r="1452" spans="10:16">
      <c r="J1452" s="44">
        <v>259.78332999999998</v>
      </c>
      <c r="K1452" s="44">
        <v>262.97000000000003</v>
      </c>
      <c r="L1452" s="44">
        <v>256.92667</v>
      </c>
      <c r="M1452" s="44">
        <v>257.66332999999997</v>
      </c>
      <c r="N1452" s="44">
        <v>505541</v>
      </c>
      <c r="O1452" s="44" t="s">
        <v>1274</v>
      </c>
      <c r="P1452" s="25">
        <f t="shared" ref="P1452:P1515" si="47">J1452/M1452-1</f>
        <v>8.2277908928678478E-3</v>
      </c>
    </row>
    <row r="1453" spans="10:16">
      <c r="J1453" s="44">
        <v>256.66332999999997</v>
      </c>
      <c r="K1453" s="44">
        <v>258.34667999999999</v>
      </c>
      <c r="L1453" s="44">
        <v>253.95334</v>
      </c>
      <c r="M1453" s="44">
        <v>256.08667000000003</v>
      </c>
      <c r="N1453" s="44">
        <v>429145</v>
      </c>
      <c r="O1453" s="44" t="s">
        <v>1275</v>
      </c>
      <c r="P1453" s="25">
        <f t="shared" si="47"/>
        <v>2.2518157622180013E-3</v>
      </c>
    </row>
    <row r="1454" spans="10:16">
      <c r="J1454" s="44">
        <v>254.08332999999999</v>
      </c>
      <c r="K1454" s="44">
        <v>255.44333</v>
      </c>
      <c r="L1454" s="44">
        <v>253.5</v>
      </c>
      <c r="M1454" s="44">
        <v>254.86667</v>
      </c>
      <c r="N1454" s="44">
        <v>435719</v>
      </c>
      <c r="O1454" s="44" t="s">
        <v>1276</v>
      </c>
      <c r="P1454" s="25">
        <f t="shared" si="47"/>
        <v>-3.0735286022295361E-3</v>
      </c>
    </row>
    <row r="1455" spans="10:16">
      <c r="J1455" s="44">
        <v>252.35</v>
      </c>
      <c r="K1455" s="44">
        <v>254.88</v>
      </c>
      <c r="L1455" s="44">
        <v>248.42</v>
      </c>
      <c r="M1455" s="44">
        <v>250</v>
      </c>
      <c r="N1455" s="44">
        <v>759027</v>
      </c>
      <c r="O1455" s="44" t="s">
        <v>1277</v>
      </c>
      <c r="P1455" s="25">
        <f t="shared" si="47"/>
        <v>9.400000000000075E-3</v>
      </c>
    </row>
    <row r="1456" spans="10:16">
      <c r="J1456" s="44">
        <v>248.46665999999999</v>
      </c>
      <c r="K1456" s="44">
        <v>252.58667</v>
      </c>
      <c r="L1456" s="44">
        <v>248.20334</v>
      </c>
      <c r="M1456" s="44">
        <v>251.66333</v>
      </c>
      <c r="N1456" s="44">
        <v>510705</v>
      </c>
      <c r="O1456" s="44" t="s">
        <v>1278</v>
      </c>
      <c r="P1456" s="25">
        <f t="shared" si="47"/>
        <v>-1.2702168408881831E-2</v>
      </c>
    </row>
    <row r="1457" spans="10:16">
      <c r="J1457" s="44">
        <v>252.61332999999999</v>
      </c>
      <c r="K1457" s="44">
        <v>256.16332999999997</v>
      </c>
      <c r="L1457" s="44">
        <v>251.22</v>
      </c>
      <c r="M1457" s="44">
        <v>251.22</v>
      </c>
      <c r="N1457" s="44">
        <v>551470</v>
      </c>
      <c r="O1457" s="44" t="s">
        <v>1279</v>
      </c>
      <c r="P1457" s="25">
        <f t="shared" si="47"/>
        <v>5.5462542791178127E-3</v>
      </c>
    </row>
    <row r="1458" spans="10:16">
      <c r="J1458" s="44">
        <v>248.70334</v>
      </c>
      <c r="K1458" s="44">
        <v>253.62334000000001</v>
      </c>
      <c r="L1458" s="44">
        <v>246.66667000000001</v>
      </c>
      <c r="M1458" s="44">
        <v>250.66667000000001</v>
      </c>
      <c r="N1458" s="44">
        <v>628026</v>
      </c>
      <c r="O1458" s="44" t="s">
        <v>1280</v>
      </c>
      <c r="P1458" s="25">
        <f t="shared" si="47"/>
        <v>-7.832433406483652E-3</v>
      </c>
    </row>
    <row r="1459" spans="10:16">
      <c r="J1459" s="44">
        <v>249.21333000000001</v>
      </c>
      <c r="K1459" s="44">
        <v>253.72329999999999</v>
      </c>
      <c r="L1459" s="44">
        <v>247.16667000000001</v>
      </c>
      <c r="M1459" s="44">
        <v>251.45466999999999</v>
      </c>
      <c r="N1459" s="44">
        <v>630112</v>
      </c>
      <c r="O1459" s="44" t="s">
        <v>1281</v>
      </c>
      <c r="P1459" s="25">
        <f t="shared" si="47"/>
        <v>-8.9134952236121778E-3</v>
      </c>
    </row>
    <row r="1460" spans="10:16">
      <c r="J1460" s="44">
        <v>255.12</v>
      </c>
      <c r="K1460" s="44">
        <v>259.41332999999997</v>
      </c>
      <c r="L1460" s="44">
        <v>254.97667000000001</v>
      </c>
      <c r="M1460" s="44">
        <v>255.68333000000001</v>
      </c>
      <c r="N1460" s="44">
        <v>573762</v>
      </c>
      <c r="O1460" s="44" t="s">
        <v>1282</v>
      </c>
      <c r="P1460" s="25">
        <f t="shared" si="47"/>
        <v>-2.2032331947491324E-3</v>
      </c>
    </row>
    <row r="1461" spans="10:16">
      <c r="J1461" s="44">
        <v>252.91</v>
      </c>
      <c r="K1461" s="44">
        <v>256.46334999999999</v>
      </c>
      <c r="L1461" s="44">
        <v>248.98670000000001</v>
      </c>
      <c r="M1461" s="44">
        <v>253.46665999999999</v>
      </c>
      <c r="N1461" s="44">
        <v>772512</v>
      </c>
      <c r="O1461" s="44" t="s">
        <v>1283</v>
      </c>
      <c r="P1461" s="25">
        <f t="shared" si="47"/>
        <v>-2.1961862755440764E-3</v>
      </c>
    </row>
    <row r="1462" spans="10:16">
      <c r="J1462" s="44">
        <v>256.55</v>
      </c>
      <c r="K1462" s="44">
        <v>257.54333000000003</v>
      </c>
      <c r="L1462" s="44">
        <v>251.005</v>
      </c>
      <c r="M1462" s="44">
        <v>251.49332999999999</v>
      </c>
      <c r="N1462" s="44">
        <v>1012317</v>
      </c>
      <c r="O1462" s="44" t="s">
        <v>1284</v>
      </c>
      <c r="P1462" s="25">
        <f t="shared" si="47"/>
        <v>2.0106576981584467E-2</v>
      </c>
    </row>
    <row r="1463" spans="10:16">
      <c r="J1463" s="44">
        <v>250.67</v>
      </c>
      <c r="K1463" s="44">
        <v>251.55</v>
      </c>
      <c r="L1463" s="44">
        <v>245.21333000000001</v>
      </c>
      <c r="M1463" s="44">
        <v>249.13667000000001</v>
      </c>
      <c r="N1463" s="44">
        <v>1102403</v>
      </c>
      <c r="O1463" s="44" t="s">
        <v>1285</v>
      </c>
      <c r="P1463" s="25">
        <f t="shared" si="47"/>
        <v>6.154573712492839E-3</v>
      </c>
    </row>
    <row r="1464" spans="10:16">
      <c r="J1464" s="44">
        <v>248.02667</v>
      </c>
      <c r="K1464" s="44">
        <v>263.07333</v>
      </c>
      <c r="L1464" s="44">
        <v>247.84334000000001</v>
      </c>
      <c r="M1464" s="44">
        <v>261.01334000000003</v>
      </c>
      <c r="N1464" s="44">
        <v>1766446</v>
      </c>
      <c r="O1464" s="44" t="s">
        <v>1286</v>
      </c>
      <c r="P1464" s="25">
        <f t="shared" si="47"/>
        <v>-4.9754813298048428E-2</v>
      </c>
    </row>
    <row r="1465" spans="10:16">
      <c r="J1465" s="44">
        <v>266.22332999999998</v>
      </c>
      <c r="K1465" s="44">
        <v>267.33334000000002</v>
      </c>
      <c r="L1465" s="44">
        <v>260.86667</v>
      </c>
      <c r="M1465" s="44">
        <v>265.44333</v>
      </c>
      <c r="N1465" s="44">
        <v>660063</v>
      </c>
      <c r="O1465" s="44" t="s">
        <v>1287</v>
      </c>
      <c r="P1465" s="25">
        <f t="shared" si="47"/>
        <v>2.9384803151768502E-3</v>
      </c>
    </row>
    <row r="1466" spans="10:16">
      <c r="J1466" s="44">
        <v>266.19</v>
      </c>
      <c r="K1466" s="44">
        <v>267.22332999999998</v>
      </c>
      <c r="L1466" s="44">
        <v>260.54333000000003</v>
      </c>
      <c r="M1466" s="44">
        <v>261.85000000000002</v>
      </c>
      <c r="N1466" s="44">
        <v>549472</v>
      </c>
      <c r="O1466" s="44" t="s">
        <v>1288</v>
      </c>
      <c r="P1466" s="25">
        <f t="shared" si="47"/>
        <v>1.6574374641970424E-2</v>
      </c>
    </row>
    <row r="1467" spans="10:16">
      <c r="J1467" s="44">
        <v>259.47000000000003</v>
      </c>
      <c r="K1467" s="44">
        <v>264</v>
      </c>
      <c r="L1467" s="44">
        <v>258.47372000000001</v>
      </c>
      <c r="M1467" s="44">
        <v>261.69666000000001</v>
      </c>
      <c r="N1467" s="44">
        <v>640456</v>
      </c>
      <c r="O1467" s="44" t="s">
        <v>1289</v>
      </c>
      <c r="P1467" s="25">
        <f t="shared" si="47"/>
        <v>-8.5085533762638832E-3</v>
      </c>
    </row>
    <row r="1468" spans="10:16">
      <c r="J1468" s="44">
        <v>259.47332999999998</v>
      </c>
      <c r="K1468" s="44">
        <v>267.35333000000003</v>
      </c>
      <c r="L1468" s="44">
        <v>259</v>
      </c>
      <c r="M1468" s="44">
        <v>266.68668000000002</v>
      </c>
      <c r="N1468" s="44">
        <v>772848</v>
      </c>
      <c r="O1468" s="44" t="s">
        <v>1290</v>
      </c>
      <c r="P1468" s="25">
        <f t="shared" si="47"/>
        <v>-2.7048032545157641E-2</v>
      </c>
    </row>
    <row r="1469" spans="10:16">
      <c r="J1469" s="44">
        <v>265.71334999999999</v>
      </c>
      <c r="K1469" s="44">
        <v>271.92334</v>
      </c>
      <c r="L1469" s="44">
        <v>265.01666</v>
      </c>
      <c r="M1469" s="44">
        <v>271.43</v>
      </c>
      <c r="N1469" s="44">
        <v>486925</v>
      </c>
      <c r="O1469" s="44" t="s">
        <v>1291</v>
      </c>
      <c r="P1469" s="25">
        <f t="shared" si="47"/>
        <v>-2.1061231256677693E-2</v>
      </c>
    </row>
    <row r="1470" spans="10:16">
      <c r="J1470" s="44">
        <v>270.48334</v>
      </c>
      <c r="K1470" s="44">
        <v>274.66665999999998</v>
      </c>
      <c r="L1470" s="44">
        <v>262</v>
      </c>
      <c r="M1470" s="44">
        <v>262.45666999999997</v>
      </c>
      <c r="N1470" s="44">
        <v>850141</v>
      </c>
      <c r="O1470" s="44" t="s">
        <v>1292</v>
      </c>
      <c r="P1470" s="25">
        <f t="shared" si="47"/>
        <v>3.0582838683429259E-2</v>
      </c>
    </row>
    <row r="1471" spans="10:16">
      <c r="J1471" s="44">
        <v>262.81</v>
      </c>
      <c r="K1471" s="44">
        <v>271.01</v>
      </c>
      <c r="L1471" s="44">
        <v>262.76666</v>
      </c>
      <c r="M1471" s="44">
        <v>270.44666000000001</v>
      </c>
      <c r="N1471" s="44">
        <v>634619</v>
      </c>
      <c r="O1471" s="44" t="s">
        <v>1293</v>
      </c>
      <c r="P1471" s="25">
        <f t="shared" si="47"/>
        <v>-2.8237213208697098E-2</v>
      </c>
    </row>
    <row r="1472" spans="10:16">
      <c r="J1472" s="44">
        <v>271.21667000000002</v>
      </c>
      <c r="K1472" s="44">
        <v>272.81</v>
      </c>
      <c r="L1472" s="44">
        <v>267.94670000000002</v>
      </c>
      <c r="M1472" s="44">
        <v>272.81</v>
      </c>
      <c r="N1472" s="44">
        <v>548245</v>
      </c>
      <c r="O1472" s="44" t="s">
        <v>1294</v>
      </c>
      <c r="P1472" s="25">
        <f t="shared" si="47"/>
        <v>-5.8404384003518661E-3</v>
      </c>
    </row>
    <row r="1473" spans="10:16">
      <c r="J1473" s="44">
        <v>272.91665999999998</v>
      </c>
      <c r="K1473" s="44">
        <v>275.13159999999999</v>
      </c>
      <c r="L1473" s="44">
        <v>268.02</v>
      </c>
      <c r="M1473" s="44">
        <v>268.07333</v>
      </c>
      <c r="N1473" s="44">
        <v>476195</v>
      </c>
      <c r="O1473" s="44" t="s">
        <v>1295</v>
      </c>
      <c r="P1473" s="25">
        <f t="shared" si="47"/>
        <v>1.8067183333754233E-2</v>
      </c>
    </row>
    <row r="1474" spans="10:16">
      <c r="J1474" s="44">
        <v>269.40332000000001</v>
      </c>
      <c r="K1474" s="44">
        <v>270.13499999999999</v>
      </c>
      <c r="L1474" s="44">
        <v>263.33334000000002</v>
      </c>
      <c r="M1474" s="44">
        <v>266.29000000000002</v>
      </c>
      <c r="N1474" s="44">
        <v>428487</v>
      </c>
      <c r="O1474" s="44" t="s">
        <v>1296</v>
      </c>
      <c r="P1474" s="25">
        <f t="shared" si="47"/>
        <v>1.1691464193172907E-2</v>
      </c>
    </row>
    <row r="1475" spans="10:16">
      <c r="J1475" s="44">
        <v>264.26334000000003</v>
      </c>
      <c r="K1475" s="44">
        <v>266.66665999999998</v>
      </c>
      <c r="L1475" s="44">
        <v>262.28665000000001</v>
      </c>
      <c r="M1475" s="44">
        <v>265.09332000000001</v>
      </c>
      <c r="N1475" s="44">
        <v>690459</v>
      </c>
      <c r="O1475" s="44" t="s">
        <v>1297</v>
      </c>
      <c r="P1475" s="25">
        <f t="shared" si="47"/>
        <v>-3.1308974515087407E-3</v>
      </c>
    </row>
    <row r="1476" spans="10:16">
      <c r="J1476" s="44">
        <v>268.35000000000002</v>
      </c>
      <c r="K1476" s="44">
        <v>270.46334999999999</v>
      </c>
      <c r="L1476" s="44">
        <v>263.13</v>
      </c>
      <c r="M1476" s="44">
        <v>264.63</v>
      </c>
      <c r="N1476" s="44">
        <v>454674</v>
      </c>
      <c r="O1476" s="44" t="s">
        <v>1298</v>
      </c>
      <c r="P1476" s="25">
        <f t="shared" si="47"/>
        <v>1.4057363110758558E-2</v>
      </c>
    </row>
    <row r="1477" spans="10:16">
      <c r="J1477" s="44">
        <v>266.66665999999998</v>
      </c>
      <c r="K1477" s="44">
        <v>275.27999999999997</v>
      </c>
      <c r="L1477" s="44">
        <v>262.95999999999998</v>
      </c>
      <c r="M1477" s="44">
        <v>275.27999999999997</v>
      </c>
      <c r="N1477" s="44">
        <v>593862</v>
      </c>
      <c r="O1477" s="44" t="s">
        <v>1299</v>
      </c>
      <c r="P1477" s="25">
        <f t="shared" si="47"/>
        <v>-3.1289378087765218E-2</v>
      </c>
    </row>
    <row r="1478" spans="10:16">
      <c r="J1478" s="44">
        <v>272.7</v>
      </c>
      <c r="K1478" s="44">
        <v>273.67500000000001</v>
      </c>
      <c r="L1478" s="44">
        <v>270.10248000000001</v>
      </c>
      <c r="M1478" s="44">
        <v>271.83999999999997</v>
      </c>
      <c r="N1478" s="44">
        <v>386888</v>
      </c>
      <c r="O1478" s="44" t="s">
        <v>1300</v>
      </c>
      <c r="P1478" s="25">
        <f t="shared" si="47"/>
        <v>3.1636256621543346E-3</v>
      </c>
    </row>
    <row r="1479" spans="10:16">
      <c r="J1479" s="44">
        <v>271.76666</v>
      </c>
      <c r="K1479" s="44">
        <v>274.05</v>
      </c>
      <c r="L1479" s="44">
        <v>270.67833999999999</v>
      </c>
      <c r="M1479" s="44">
        <v>273.33</v>
      </c>
      <c r="N1479" s="44">
        <v>258532</v>
      </c>
      <c r="O1479" s="44" t="s">
        <v>1301</v>
      </c>
      <c r="P1479" s="25">
        <f t="shared" si="47"/>
        <v>-5.7196063366625749E-3</v>
      </c>
    </row>
    <row r="1480" spans="10:16">
      <c r="J1480" s="44">
        <v>271.35665999999998</v>
      </c>
      <c r="K1480" s="44">
        <v>273.43331999999998</v>
      </c>
      <c r="L1480" s="44">
        <v>269.04500000000002</v>
      </c>
      <c r="M1480" s="44">
        <v>270.79000000000002</v>
      </c>
      <c r="N1480" s="44">
        <v>373417</v>
      </c>
      <c r="O1480" s="44" t="s">
        <v>1302</v>
      </c>
      <c r="P1480" s="25">
        <f t="shared" si="47"/>
        <v>2.0926178957862973E-3</v>
      </c>
    </row>
    <row r="1481" spans="10:16">
      <c r="J1481" s="44">
        <v>268.38666000000001</v>
      </c>
      <c r="K1481" s="44">
        <v>273.33</v>
      </c>
      <c r="L1481" s="44">
        <v>265.74</v>
      </c>
      <c r="M1481" s="44">
        <v>272.73665999999997</v>
      </c>
      <c r="N1481" s="44">
        <v>409870</v>
      </c>
      <c r="O1481" s="44" t="s">
        <v>1303</v>
      </c>
      <c r="P1481" s="25">
        <f t="shared" si="47"/>
        <v>-1.5949451019895755E-2</v>
      </c>
    </row>
    <row r="1482" spans="10:16">
      <c r="J1482" s="44">
        <v>269</v>
      </c>
      <c r="K1482" s="44">
        <v>270.77999999999997</v>
      </c>
      <c r="L1482" s="44">
        <v>267.67</v>
      </c>
      <c r="M1482" s="44">
        <v>270.23665999999997</v>
      </c>
      <c r="N1482" s="44">
        <v>163268</v>
      </c>
      <c r="O1482" s="44" t="s">
        <v>1304</v>
      </c>
      <c r="P1482" s="25">
        <f t="shared" si="47"/>
        <v>-4.576211088458404E-3</v>
      </c>
    </row>
    <row r="1483" spans="10:16">
      <c r="J1483" s="44">
        <v>269.88333</v>
      </c>
      <c r="K1483" s="44">
        <v>275.60333000000003</v>
      </c>
      <c r="L1483" s="44">
        <v>269.51</v>
      </c>
      <c r="M1483" s="44">
        <v>272.33667000000003</v>
      </c>
      <c r="N1483" s="44">
        <v>644305</v>
      </c>
      <c r="O1483" s="44" t="s">
        <v>1305</v>
      </c>
      <c r="P1483" s="25">
        <f t="shared" si="47"/>
        <v>-9.0084820380598174E-3</v>
      </c>
    </row>
    <row r="1484" spans="10:16">
      <c r="J1484" s="44">
        <v>271.75</v>
      </c>
      <c r="K1484" s="44">
        <v>272.27999999999997</v>
      </c>
      <c r="L1484" s="44">
        <v>262.75664999999998</v>
      </c>
      <c r="M1484" s="44">
        <v>263.37</v>
      </c>
      <c r="N1484" s="44">
        <v>748731</v>
      </c>
      <c r="O1484" s="44" t="s">
        <v>1306</v>
      </c>
      <c r="P1484" s="25">
        <f t="shared" si="47"/>
        <v>3.1818354406348393E-2</v>
      </c>
    </row>
    <row r="1485" spans="10:16">
      <c r="J1485" s="44">
        <v>263.08999999999997</v>
      </c>
      <c r="K1485" s="44">
        <v>263.32666</v>
      </c>
      <c r="L1485" s="44">
        <v>256.06</v>
      </c>
      <c r="M1485" s="44">
        <v>259.33667000000003</v>
      </c>
      <c r="N1485" s="44">
        <v>514001</v>
      </c>
      <c r="O1485" s="44" t="s">
        <v>1307</v>
      </c>
      <c r="P1485" s="25">
        <f t="shared" si="47"/>
        <v>1.447280864676781E-2</v>
      </c>
    </row>
    <row r="1486" spans="10:16">
      <c r="J1486" s="44">
        <v>263.02999999999997</v>
      </c>
      <c r="K1486" s="44">
        <v>263.60000000000002</v>
      </c>
      <c r="L1486" s="44">
        <v>258.34661999999997</v>
      </c>
      <c r="M1486" s="44">
        <v>262.26334000000003</v>
      </c>
      <c r="N1486" s="44">
        <v>874293</v>
      </c>
      <c r="O1486" s="44" t="s">
        <v>1308</v>
      </c>
      <c r="P1486" s="25">
        <f t="shared" si="47"/>
        <v>2.923245010148845E-3</v>
      </c>
    </row>
    <row r="1487" spans="10:16">
      <c r="J1487" s="44">
        <v>259.92667</v>
      </c>
      <c r="K1487" s="44">
        <v>260.41500000000002</v>
      </c>
      <c r="L1487" s="44">
        <v>255.75</v>
      </c>
      <c r="M1487" s="44">
        <v>257.12668000000002</v>
      </c>
      <c r="N1487" s="44">
        <v>435540</v>
      </c>
      <c r="O1487" s="44" t="s">
        <v>1309</v>
      </c>
      <c r="P1487" s="25">
        <f t="shared" si="47"/>
        <v>1.0889535072750922E-2</v>
      </c>
    </row>
    <row r="1488" spans="10:16">
      <c r="J1488" s="44">
        <v>255.35333</v>
      </c>
      <c r="K1488" s="44">
        <v>256.65332000000001</v>
      </c>
      <c r="L1488" s="44">
        <v>254.01832999999999</v>
      </c>
      <c r="M1488" s="44">
        <v>255.25</v>
      </c>
      <c r="N1488" s="44">
        <v>359630</v>
      </c>
      <c r="O1488" s="44" t="s">
        <v>1310</v>
      </c>
      <c r="P1488" s="25">
        <f t="shared" si="47"/>
        <v>4.0481880509313228E-4</v>
      </c>
    </row>
    <row r="1489" spans="10:16">
      <c r="J1489" s="44">
        <v>256.16332999999997</v>
      </c>
      <c r="K1489" s="44">
        <v>257.18668000000002</v>
      </c>
      <c r="L1489" s="44">
        <v>251.66667000000001</v>
      </c>
      <c r="M1489" s="44">
        <v>252.33667</v>
      </c>
      <c r="N1489" s="44">
        <v>432614</v>
      </c>
      <c r="O1489" s="44" t="s">
        <v>1311</v>
      </c>
      <c r="P1489" s="25">
        <f t="shared" si="47"/>
        <v>1.5164898546057515E-2</v>
      </c>
    </row>
    <row r="1490" spans="10:16">
      <c r="J1490" s="44">
        <v>254.93</v>
      </c>
      <c r="K1490" s="44">
        <v>260.20999999999998</v>
      </c>
      <c r="L1490" s="44">
        <v>254.01666</v>
      </c>
      <c r="M1490" s="44">
        <v>254.66667000000001</v>
      </c>
      <c r="N1490" s="44">
        <v>598133</v>
      </c>
      <c r="O1490" s="44" t="s">
        <v>1312</v>
      </c>
      <c r="P1490" s="25">
        <f t="shared" si="47"/>
        <v>1.0340183110730816E-3</v>
      </c>
    </row>
    <row r="1491" spans="10:16">
      <c r="J1491" s="44">
        <v>253.33332999999999</v>
      </c>
      <c r="K1491" s="44">
        <v>253.96665999999999</v>
      </c>
      <c r="L1491" s="44">
        <v>248.62665999999999</v>
      </c>
      <c r="M1491" s="44">
        <v>251.38333</v>
      </c>
      <c r="N1491" s="44">
        <v>545860</v>
      </c>
      <c r="O1491" s="44" t="s">
        <v>1313</v>
      </c>
      <c r="P1491" s="25">
        <f t="shared" si="47"/>
        <v>7.7570776073336845E-3</v>
      </c>
    </row>
    <row r="1492" spans="10:16">
      <c r="J1492" s="44">
        <v>252.69</v>
      </c>
      <c r="K1492" s="44">
        <v>255.6</v>
      </c>
      <c r="L1492" s="44">
        <v>249.36</v>
      </c>
      <c r="M1492" s="44">
        <v>251.86667</v>
      </c>
      <c r="N1492" s="44">
        <v>496207</v>
      </c>
      <c r="O1492" s="44" t="s">
        <v>1314</v>
      </c>
      <c r="P1492" s="25">
        <f t="shared" si="47"/>
        <v>3.2689120795539317E-3</v>
      </c>
    </row>
    <row r="1493" spans="10:16">
      <c r="J1493" s="44">
        <v>251.17</v>
      </c>
      <c r="K1493" s="44">
        <v>255.87</v>
      </c>
      <c r="L1493" s="44">
        <v>250.03334000000001</v>
      </c>
      <c r="M1493" s="44">
        <v>255.87</v>
      </c>
      <c r="N1493" s="44">
        <v>529155</v>
      </c>
      <c r="O1493" s="44" t="s">
        <v>1315</v>
      </c>
      <c r="P1493" s="25">
        <f t="shared" si="47"/>
        <v>-1.8368702856919605E-2</v>
      </c>
    </row>
    <row r="1494" spans="10:16">
      <c r="J1494" s="44">
        <v>255.11667</v>
      </c>
      <c r="K1494" s="44">
        <v>255.86</v>
      </c>
      <c r="L1494" s="44">
        <v>251.66667000000001</v>
      </c>
      <c r="M1494" s="44">
        <v>254.28666999999999</v>
      </c>
      <c r="N1494" s="44">
        <v>425393</v>
      </c>
      <c r="O1494" s="44" t="s">
        <v>1316</v>
      </c>
      <c r="P1494" s="25">
        <f t="shared" si="47"/>
        <v>3.2640326761919081E-3</v>
      </c>
    </row>
    <row r="1495" spans="10:16">
      <c r="J1495" s="44">
        <v>254.79666</v>
      </c>
      <c r="K1495" s="44">
        <v>260.17667</v>
      </c>
      <c r="L1495" s="44">
        <v>254.10667000000001</v>
      </c>
      <c r="M1495" s="44">
        <v>259.33334000000002</v>
      </c>
      <c r="N1495" s="44">
        <v>577469</v>
      </c>
      <c r="O1495" s="44" t="s">
        <v>1317</v>
      </c>
      <c r="P1495" s="25">
        <f t="shared" si="47"/>
        <v>-1.7493624228955729E-2</v>
      </c>
    </row>
    <row r="1496" spans="10:16">
      <c r="J1496" s="44">
        <v>260.11333999999999</v>
      </c>
      <c r="K1496" s="44">
        <v>260.63164999999998</v>
      </c>
      <c r="L1496" s="44">
        <v>251.15665999999999</v>
      </c>
      <c r="M1496" s="44">
        <v>251.15665999999999</v>
      </c>
      <c r="N1496" s="44">
        <v>553878</v>
      </c>
      <c r="O1496" s="44" t="s">
        <v>1318</v>
      </c>
      <c r="P1496" s="25">
        <f t="shared" si="47"/>
        <v>3.5661726031871899E-2</v>
      </c>
    </row>
    <row r="1497" spans="10:16">
      <c r="J1497" s="44">
        <v>252.90665999999999</v>
      </c>
      <c r="K1497" s="44">
        <v>254.75</v>
      </c>
      <c r="L1497" s="44">
        <v>249.62334000000001</v>
      </c>
      <c r="M1497" s="44">
        <v>250.66333</v>
      </c>
      <c r="N1497" s="44">
        <v>544782</v>
      </c>
      <c r="O1497" s="44" t="s">
        <v>1319</v>
      </c>
      <c r="P1497" s="25">
        <f t="shared" si="47"/>
        <v>8.9495739165357246E-3</v>
      </c>
    </row>
    <row r="1498" spans="10:16">
      <c r="J1498" s="44">
        <v>250.42667</v>
      </c>
      <c r="K1498" s="44">
        <v>251.4</v>
      </c>
      <c r="L1498" s="44">
        <v>243.67</v>
      </c>
      <c r="M1498" s="44">
        <v>243.67</v>
      </c>
      <c r="N1498" s="44">
        <v>587047</v>
      </c>
      <c r="O1498" s="44" t="s">
        <v>1320</v>
      </c>
      <c r="P1498" s="25">
        <f t="shared" si="47"/>
        <v>2.7728772520211775E-2</v>
      </c>
    </row>
    <row r="1499" spans="10:16">
      <c r="J1499" s="44">
        <v>244.55</v>
      </c>
      <c r="K1499" s="44">
        <v>245.50667000000001</v>
      </c>
      <c r="L1499" s="44">
        <v>240.61667</v>
      </c>
      <c r="M1499" s="44">
        <v>244.43333000000001</v>
      </c>
      <c r="N1499" s="44">
        <v>518983</v>
      </c>
      <c r="O1499" s="44" t="s">
        <v>1321</v>
      </c>
      <c r="P1499" s="25">
        <f t="shared" si="47"/>
        <v>4.7730806596635311E-4</v>
      </c>
    </row>
    <row r="1500" spans="10:16">
      <c r="J1500" s="44">
        <v>242.01666</v>
      </c>
      <c r="K1500" s="44">
        <v>244.63</v>
      </c>
      <c r="L1500" s="44">
        <v>240.33332999999999</v>
      </c>
      <c r="M1500" s="44">
        <v>241.80332999999999</v>
      </c>
      <c r="N1500" s="44">
        <v>784644</v>
      </c>
      <c r="O1500" s="44" t="s">
        <v>1322</v>
      </c>
      <c r="P1500" s="25">
        <f t="shared" si="47"/>
        <v>8.8224591447949585E-4</v>
      </c>
    </row>
    <row r="1501" spans="10:16">
      <c r="J1501" s="44">
        <v>243.27332999999999</v>
      </c>
      <c r="K1501" s="44">
        <v>245.19</v>
      </c>
      <c r="L1501" s="44">
        <v>242</v>
      </c>
      <c r="M1501" s="44">
        <v>245.12334000000001</v>
      </c>
      <c r="N1501" s="44">
        <v>265388</v>
      </c>
      <c r="O1501" s="44" t="s">
        <v>1323</v>
      </c>
      <c r="P1501" s="25">
        <f t="shared" si="47"/>
        <v>-7.5472617173053536E-3</v>
      </c>
    </row>
    <row r="1502" spans="10:16">
      <c r="J1502" s="44">
        <v>242.12334000000001</v>
      </c>
      <c r="K1502" s="44">
        <v>244.24666999999999</v>
      </c>
      <c r="L1502" s="44">
        <v>241.62334000000001</v>
      </c>
      <c r="M1502" s="44">
        <v>243.1</v>
      </c>
      <c r="N1502" s="44">
        <v>343001</v>
      </c>
      <c r="O1502" s="44" t="s">
        <v>1324</v>
      </c>
      <c r="P1502" s="25">
        <f t="shared" si="47"/>
        <v>-4.0175236528177116E-3</v>
      </c>
    </row>
    <row r="1503" spans="10:16">
      <c r="J1503" s="44">
        <v>241.61332999999999</v>
      </c>
      <c r="K1503" s="44">
        <v>242.88333</v>
      </c>
      <c r="L1503" s="44">
        <v>240.34</v>
      </c>
      <c r="M1503" s="44">
        <v>242.3</v>
      </c>
      <c r="N1503" s="44">
        <v>587238</v>
      </c>
      <c r="O1503" s="44" t="s">
        <v>1325</v>
      </c>
      <c r="P1503" s="25">
        <f t="shared" si="47"/>
        <v>-2.8339661576558539E-3</v>
      </c>
    </row>
    <row r="1504" spans="10:16">
      <c r="J1504" s="44">
        <v>239.68333000000001</v>
      </c>
      <c r="K1504" s="44">
        <v>244.68167</v>
      </c>
      <c r="L1504" s="44">
        <v>237.69</v>
      </c>
      <c r="M1504" s="44">
        <v>243.82666</v>
      </c>
      <c r="N1504" s="44">
        <v>501051</v>
      </c>
      <c r="O1504" s="44" t="s">
        <v>1326</v>
      </c>
      <c r="P1504" s="25">
        <f t="shared" si="47"/>
        <v>-1.6992932602201916E-2</v>
      </c>
    </row>
    <row r="1505" spans="10:16">
      <c r="J1505" s="44">
        <v>243.58</v>
      </c>
      <c r="K1505" s="44">
        <v>245.08500000000001</v>
      </c>
      <c r="L1505" s="44">
        <v>242.21</v>
      </c>
      <c r="M1505" s="44">
        <v>243.67</v>
      </c>
      <c r="N1505" s="44">
        <v>389672</v>
      </c>
      <c r="O1505" s="44" t="s">
        <v>1327</v>
      </c>
      <c r="P1505" s="25">
        <f t="shared" si="47"/>
        <v>-3.6935199244869654E-4</v>
      </c>
    </row>
    <row r="1506" spans="10:16">
      <c r="J1506" s="44">
        <v>244.65</v>
      </c>
      <c r="K1506" s="44">
        <v>245.81</v>
      </c>
      <c r="L1506" s="44">
        <v>241.16333</v>
      </c>
      <c r="M1506" s="44">
        <v>243.58667</v>
      </c>
      <c r="N1506" s="44">
        <v>380536</v>
      </c>
      <c r="O1506" s="44" t="s">
        <v>1328</v>
      </c>
      <c r="P1506" s="25">
        <f t="shared" si="47"/>
        <v>4.3653045546376834E-3</v>
      </c>
    </row>
    <row r="1507" spans="10:16">
      <c r="J1507" s="44">
        <v>244.46</v>
      </c>
      <c r="K1507" s="44">
        <v>249.24332999999999</v>
      </c>
      <c r="L1507" s="44">
        <v>244.33332999999999</v>
      </c>
      <c r="M1507" s="44">
        <v>249.08</v>
      </c>
      <c r="N1507" s="44">
        <v>434013</v>
      </c>
      <c r="O1507" s="44" t="s">
        <v>1329</v>
      </c>
      <c r="P1507" s="25">
        <f t="shared" si="47"/>
        <v>-1.8548257587923556E-2</v>
      </c>
    </row>
    <row r="1508" spans="10:16">
      <c r="J1508" s="44">
        <v>249.71665999999999</v>
      </c>
      <c r="K1508" s="44">
        <v>250.76</v>
      </c>
      <c r="L1508" s="44">
        <v>246.88167000000001</v>
      </c>
      <c r="M1508" s="44">
        <v>249.32333</v>
      </c>
      <c r="N1508" s="44">
        <v>384324</v>
      </c>
      <c r="O1508" s="44" t="s">
        <v>1330</v>
      </c>
      <c r="P1508" s="25">
        <f t="shared" si="47"/>
        <v>1.5775900313861335E-3</v>
      </c>
    </row>
    <row r="1509" spans="10:16">
      <c r="J1509" s="44">
        <v>252.73</v>
      </c>
      <c r="K1509" s="44">
        <v>254.68</v>
      </c>
      <c r="L1509" s="44">
        <v>249.37334000000001</v>
      </c>
      <c r="M1509" s="44">
        <v>253.33332999999999</v>
      </c>
      <c r="N1509" s="44">
        <v>520375</v>
      </c>
      <c r="O1509" s="44" t="s">
        <v>1331</v>
      </c>
      <c r="P1509" s="25">
        <f t="shared" si="47"/>
        <v>-2.381565820810061E-3</v>
      </c>
    </row>
    <row r="1510" spans="10:16">
      <c r="J1510" s="44">
        <v>251.12665999999999</v>
      </c>
      <c r="K1510" s="44">
        <v>251.77332999999999</v>
      </c>
      <c r="L1510" s="44">
        <v>248.24332999999999</v>
      </c>
      <c r="M1510" s="44">
        <v>249.44333</v>
      </c>
      <c r="N1510" s="44">
        <v>287491</v>
      </c>
      <c r="O1510" s="44" t="s">
        <v>1332</v>
      </c>
      <c r="P1510" s="25">
        <f t="shared" si="47"/>
        <v>6.7483464079796107E-3</v>
      </c>
    </row>
    <row r="1511" spans="10:16">
      <c r="J1511" s="44">
        <v>246.92334</v>
      </c>
      <c r="K1511" s="44">
        <v>250.59334000000001</v>
      </c>
      <c r="L1511" s="44">
        <v>245.65665999999999</v>
      </c>
      <c r="M1511" s="44">
        <v>248.05667</v>
      </c>
      <c r="N1511" s="44">
        <v>413858</v>
      </c>
      <c r="O1511" s="44" t="s">
        <v>1333</v>
      </c>
      <c r="P1511" s="25">
        <f t="shared" si="47"/>
        <v>-4.5688350166113167E-3</v>
      </c>
    </row>
    <row r="1512" spans="10:16">
      <c r="J1512" s="44">
        <v>245.85</v>
      </c>
      <c r="K1512" s="44">
        <v>253.27672999999999</v>
      </c>
      <c r="L1512" s="44">
        <v>245.37334000000001</v>
      </c>
      <c r="M1512" s="44">
        <v>251.51</v>
      </c>
      <c r="N1512" s="44">
        <v>518650</v>
      </c>
      <c r="O1512" s="44" t="s">
        <v>1334</v>
      </c>
      <c r="P1512" s="25">
        <f t="shared" si="47"/>
        <v>-2.2504075384676581E-2</v>
      </c>
    </row>
    <row r="1513" spans="10:16">
      <c r="J1513" s="44">
        <v>249.83332999999999</v>
      </c>
      <c r="K1513" s="44">
        <v>257.23665999999997</v>
      </c>
      <c r="L1513" s="44">
        <v>247.33332999999999</v>
      </c>
      <c r="M1513" s="44">
        <v>257.01334000000003</v>
      </c>
      <c r="N1513" s="44">
        <v>640866</v>
      </c>
      <c r="O1513" s="44" t="s">
        <v>1335</v>
      </c>
      <c r="P1513" s="25">
        <f t="shared" si="47"/>
        <v>-2.7936332020742749E-2</v>
      </c>
    </row>
    <row r="1514" spans="10:16">
      <c r="J1514" s="44">
        <v>257.81668000000002</v>
      </c>
      <c r="K1514" s="44">
        <v>264.18</v>
      </c>
      <c r="L1514" s="44">
        <v>251.92667</v>
      </c>
      <c r="M1514" s="44">
        <v>251.92667</v>
      </c>
      <c r="N1514" s="44">
        <v>1127941</v>
      </c>
      <c r="O1514" s="44" t="s">
        <v>1336</v>
      </c>
      <c r="P1514" s="25">
        <f t="shared" si="47"/>
        <v>2.3379858908943785E-2</v>
      </c>
    </row>
    <row r="1515" spans="10:16">
      <c r="J1515" s="44">
        <v>244.62334000000001</v>
      </c>
      <c r="K1515" s="44">
        <v>245.79834</v>
      </c>
      <c r="L1515" s="44">
        <v>240.08332999999999</v>
      </c>
      <c r="M1515" s="44">
        <v>243.13667000000001</v>
      </c>
      <c r="N1515" s="44">
        <v>406042</v>
      </c>
      <c r="O1515" s="44" t="s">
        <v>1337</v>
      </c>
      <c r="P1515" s="25">
        <f t="shared" si="47"/>
        <v>6.1145445481340932E-3</v>
      </c>
    </row>
    <row r="1516" spans="10:16">
      <c r="J1516" s="44">
        <v>242.76</v>
      </c>
      <c r="K1516" s="44">
        <v>244.93</v>
      </c>
      <c r="L1516" s="44">
        <v>239.55500000000001</v>
      </c>
      <c r="M1516" s="44">
        <v>244.84666000000001</v>
      </c>
      <c r="N1516" s="44">
        <v>535365</v>
      </c>
      <c r="O1516" s="44" t="s">
        <v>1338</v>
      </c>
      <c r="P1516" s="25">
        <f t="shared" ref="P1516:P1579" si="48">J1516/M1516-1</f>
        <v>-8.52231351654964E-3</v>
      </c>
    </row>
    <row r="1517" spans="10:16">
      <c r="J1517" s="44">
        <v>236.55</v>
      </c>
      <c r="K1517" s="44">
        <v>239.32</v>
      </c>
      <c r="L1517" s="44">
        <v>233.56909999999999</v>
      </c>
      <c r="M1517" s="44">
        <v>236.22667000000001</v>
      </c>
      <c r="N1517" s="44">
        <v>920323</v>
      </c>
      <c r="O1517" s="44" t="s">
        <v>1339</v>
      </c>
      <c r="P1517" s="25">
        <f t="shared" si="48"/>
        <v>1.3687277562690614E-3</v>
      </c>
    </row>
    <row r="1518" spans="10:16">
      <c r="J1518" s="44">
        <v>227.33332999999999</v>
      </c>
      <c r="K1518" s="44">
        <v>232.26</v>
      </c>
      <c r="L1518" s="44">
        <v>226.94</v>
      </c>
      <c r="M1518" s="44">
        <v>228</v>
      </c>
      <c r="N1518" s="44">
        <v>626463</v>
      </c>
      <c r="O1518" s="44" t="s">
        <v>1340</v>
      </c>
      <c r="P1518" s="25">
        <f t="shared" si="48"/>
        <v>-2.9239912280701885E-3</v>
      </c>
    </row>
    <row r="1519" spans="10:16">
      <c r="J1519" s="44">
        <v>225.32666</v>
      </c>
      <c r="K1519" s="44">
        <v>227.66667000000001</v>
      </c>
      <c r="L1519" s="44">
        <v>223.09666000000001</v>
      </c>
      <c r="M1519" s="44">
        <v>226.87334000000001</v>
      </c>
      <c r="N1519" s="44">
        <v>621862</v>
      </c>
      <c r="O1519" s="44" t="s">
        <v>1341</v>
      </c>
      <c r="P1519" s="25">
        <f t="shared" si="48"/>
        <v>-6.8173721954285504E-3</v>
      </c>
    </row>
    <row r="1520" spans="10:16">
      <c r="J1520" s="44">
        <v>222.36</v>
      </c>
      <c r="K1520" s="44">
        <v>228.66667000000001</v>
      </c>
      <c r="L1520" s="44">
        <v>217.66667000000001</v>
      </c>
      <c r="M1520" s="44">
        <v>227.4</v>
      </c>
      <c r="N1520" s="44">
        <v>996716</v>
      </c>
      <c r="O1520" s="44" t="s">
        <v>1342</v>
      </c>
      <c r="P1520" s="25">
        <f t="shared" si="48"/>
        <v>-2.2163588390501254E-2</v>
      </c>
    </row>
    <row r="1521" spans="10:16">
      <c r="J1521" s="44">
        <v>228.76</v>
      </c>
      <c r="K1521" s="44">
        <v>231.49</v>
      </c>
      <c r="L1521" s="44">
        <v>227.78886</v>
      </c>
      <c r="M1521" s="44">
        <v>230</v>
      </c>
      <c r="N1521" s="44">
        <v>886121</v>
      </c>
      <c r="O1521" s="44" t="s">
        <v>1343</v>
      </c>
      <c r="P1521" s="25">
        <f t="shared" si="48"/>
        <v>-5.3913043478260869E-3</v>
      </c>
    </row>
    <row r="1522" spans="10:16">
      <c r="J1522" s="44">
        <v>229.26666</v>
      </c>
      <c r="K1522" s="44">
        <v>235.04666</v>
      </c>
      <c r="L1522" s="44">
        <v>229.26334</v>
      </c>
      <c r="M1522" s="44">
        <v>234.77332999999999</v>
      </c>
      <c r="N1522" s="44">
        <v>563961</v>
      </c>
      <c r="O1522" s="44" t="s">
        <v>1344</v>
      </c>
      <c r="P1522" s="25">
        <f t="shared" si="48"/>
        <v>-2.3455262145832267E-2</v>
      </c>
    </row>
    <row r="1523" spans="10:16">
      <c r="J1523" s="44">
        <v>240.3</v>
      </c>
      <c r="K1523" s="44">
        <v>242.68333000000001</v>
      </c>
      <c r="L1523" s="44">
        <v>237.12334000000001</v>
      </c>
      <c r="M1523" s="44">
        <v>237.84</v>
      </c>
      <c r="N1523" s="44">
        <v>325004</v>
      </c>
      <c r="O1523" s="44" t="s">
        <v>1345</v>
      </c>
      <c r="P1523" s="25">
        <f t="shared" si="48"/>
        <v>1.034308779011095E-2</v>
      </c>
    </row>
    <row r="1524" spans="10:16">
      <c r="J1524" s="44">
        <v>237.25667000000001</v>
      </c>
      <c r="K1524" s="44">
        <v>243.25513000000001</v>
      </c>
      <c r="L1524" s="44">
        <v>233.56</v>
      </c>
      <c r="M1524" s="44">
        <v>242.36</v>
      </c>
      <c r="N1524" s="44">
        <v>513648</v>
      </c>
      <c r="O1524" s="44" t="s">
        <v>1346</v>
      </c>
      <c r="P1524" s="25">
        <f t="shared" si="48"/>
        <v>-2.1056816306321169E-2</v>
      </c>
    </row>
    <row r="1525" spans="10:16">
      <c r="J1525" s="44">
        <v>245.16</v>
      </c>
      <c r="K1525" s="44">
        <v>246.66499999999999</v>
      </c>
      <c r="L1525" s="44">
        <v>242.49834000000001</v>
      </c>
      <c r="M1525" s="44">
        <v>246.11</v>
      </c>
      <c r="N1525" s="44">
        <v>281680</v>
      </c>
      <c r="O1525" s="44" t="s">
        <v>1347</v>
      </c>
      <c r="P1525" s="25">
        <f t="shared" si="48"/>
        <v>-3.860062573646017E-3</v>
      </c>
    </row>
    <row r="1526" spans="10:16">
      <c r="J1526" s="44">
        <v>244.31334000000001</v>
      </c>
      <c r="K1526" s="44">
        <v>246.11332999999999</v>
      </c>
      <c r="L1526" s="44">
        <v>241.29666</v>
      </c>
      <c r="M1526" s="44">
        <v>243.20667</v>
      </c>
      <c r="N1526" s="44">
        <v>311700</v>
      </c>
      <c r="O1526" s="44" t="s">
        <v>1348</v>
      </c>
      <c r="P1526" s="25">
        <f t="shared" si="48"/>
        <v>4.5503275054092907E-3</v>
      </c>
    </row>
    <row r="1527" spans="10:16">
      <c r="J1527" s="44">
        <v>242.82666</v>
      </c>
      <c r="K1527" s="44">
        <v>244.88667000000001</v>
      </c>
      <c r="L1527" s="44">
        <v>240.86332999999999</v>
      </c>
      <c r="M1527" s="44">
        <v>243.6</v>
      </c>
      <c r="N1527" s="44">
        <v>612858</v>
      </c>
      <c r="O1527" s="44" t="s">
        <v>1349</v>
      </c>
      <c r="P1527" s="25">
        <f t="shared" si="48"/>
        <v>-3.1746305418718368E-3</v>
      </c>
    </row>
    <row r="1528" spans="10:16">
      <c r="J1528" s="44">
        <v>244.33332999999999</v>
      </c>
      <c r="K1528" s="44">
        <v>248.51666</v>
      </c>
      <c r="L1528" s="44">
        <v>243.3</v>
      </c>
      <c r="M1528" s="44">
        <v>245.37334000000001</v>
      </c>
      <c r="N1528" s="44">
        <v>399789</v>
      </c>
      <c r="O1528" s="44" t="s">
        <v>1350</v>
      </c>
      <c r="P1528" s="25">
        <f t="shared" si="48"/>
        <v>-4.2384800239505527E-3</v>
      </c>
    </row>
    <row r="1529" spans="10:16">
      <c r="J1529" s="44">
        <v>245.37334000000001</v>
      </c>
      <c r="K1529" s="44">
        <v>257.20666999999997</v>
      </c>
      <c r="L1529" s="44">
        <v>243.12334000000001</v>
      </c>
      <c r="M1529" s="44">
        <v>251.75</v>
      </c>
      <c r="N1529" s="44">
        <v>577663</v>
      </c>
      <c r="O1529" s="44" t="s">
        <v>1351</v>
      </c>
      <c r="P1529" s="25">
        <f t="shared" si="48"/>
        <v>-2.5329334657398173E-2</v>
      </c>
    </row>
    <row r="1530" spans="10:16">
      <c r="J1530" s="44">
        <v>250.89332999999999</v>
      </c>
      <c r="K1530" s="44">
        <v>253.62753000000001</v>
      </c>
      <c r="L1530" s="44">
        <v>238.76</v>
      </c>
      <c r="M1530" s="44">
        <v>241.66667000000001</v>
      </c>
      <c r="N1530" s="44">
        <v>1032235</v>
      </c>
      <c r="O1530" s="44" t="s">
        <v>1352</v>
      </c>
      <c r="P1530" s="25">
        <f t="shared" si="48"/>
        <v>3.8179282232009726E-2</v>
      </c>
    </row>
    <row r="1531" spans="10:16">
      <c r="J1531" s="44">
        <v>247</v>
      </c>
      <c r="K1531" s="44">
        <v>251.79843</v>
      </c>
      <c r="L1531" s="44">
        <v>246.66667000000001</v>
      </c>
      <c r="M1531" s="44">
        <v>247.35667000000001</v>
      </c>
      <c r="N1531" s="44">
        <v>929178</v>
      </c>
      <c r="O1531" s="44" t="s">
        <v>1353</v>
      </c>
      <c r="P1531" s="25">
        <f t="shared" si="48"/>
        <v>-1.4419259444267141E-3</v>
      </c>
    </row>
    <row r="1532" spans="10:16">
      <c r="J1532" s="44">
        <v>250.36</v>
      </c>
      <c r="K1532" s="44">
        <v>255.39332999999999</v>
      </c>
      <c r="L1532" s="44">
        <v>248.72</v>
      </c>
      <c r="M1532" s="44">
        <v>253.10333</v>
      </c>
      <c r="N1532" s="44">
        <v>638311</v>
      </c>
      <c r="O1532" s="44" t="s">
        <v>1354</v>
      </c>
      <c r="P1532" s="25">
        <f t="shared" si="48"/>
        <v>-1.0838774819754371E-2</v>
      </c>
    </row>
    <row r="1533" spans="10:16">
      <c r="J1533" s="44">
        <v>251.78334000000001</v>
      </c>
      <c r="K1533" s="44">
        <v>253.68333000000001</v>
      </c>
      <c r="L1533" s="44">
        <v>249.91</v>
      </c>
      <c r="M1533" s="44">
        <v>251.97333</v>
      </c>
      <c r="N1533" s="44">
        <v>544556</v>
      </c>
      <c r="O1533" s="44" t="s">
        <v>1355</v>
      </c>
      <c r="P1533" s="25">
        <f t="shared" si="48"/>
        <v>-7.5400837064776294E-4</v>
      </c>
    </row>
    <row r="1534" spans="10:16">
      <c r="J1534" s="44">
        <v>251.89</v>
      </c>
      <c r="K1534" s="44">
        <v>253.00833</v>
      </c>
      <c r="L1534" s="44">
        <v>247.74332999999999</v>
      </c>
      <c r="M1534" s="44">
        <v>249.58</v>
      </c>
      <c r="N1534" s="44">
        <v>755210</v>
      </c>
      <c r="O1534" s="44" t="s">
        <v>1356</v>
      </c>
      <c r="P1534" s="25">
        <f t="shared" si="48"/>
        <v>9.255549322862322E-3</v>
      </c>
    </row>
    <row r="1535" spans="10:16">
      <c r="J1535" s="44">
        <v>246.06334000000001</v>
      </c>
      <c r="K1535" s="44">
        <v>247.09</v>
      </c>
      <c r="L1535" s="44">
        <v>242.66667000000001</v>
      </c>
      <c r="M1535" s="44">
        <v>243.29333</v>
      </c>
      <c r="N1535" s="44">
        <v>413463</v>
      </c>
      <c r="O1535" s="44" t="s">
        <v>1357</v>
      </c>
      <c r="P1535" s="25">
        <f t="shared" si="48"/>
        <v>1.1385474480537505E-2</v>
      </c>
    </row>
    <row r="1536" spans="10:16">
      <c r="J1536" s="44">
        <v>241.00667000000001</v>
      </c>
      <c r="K1536" s="44">
        <v>242.87334000000001</v>
      </c>
      <c r="L1536" s="44">
        <v>240.04</v>
      </c>
      <c r="M1536" s="44">
        <v>241.66667000000001</v>
      </c>
      <c r="N1536" s="44">
        <v>370338</v>
      </c>
      <c r="O1536" s="44" t="s">
        <v>1358</v>
      </c>
      <c r="P1536" s="25">
        <f t="shared" si="48"/>
        <v>-2.7310344450891533E-3</v>
      </c>
    </row>
    <row r="1537" spans="10:16">
      <c r="J1537" s="44">
        <v>240.09334000000001</v>
      </c>
      <c r="K1537" s="44">
        <v>240.66333</v>
      </c>
      <c r="L1537" s="44">
        <v>236.14667</v>
      </c>
      <c r="M1537" s="44">
        <v>236.14667</v>
      </c>
      <c r="N1537" s="44">
        <v>393467</v>
      </c>
      <c r="O1537" s="44" t="s">
        <v>1359</v>
      </c>
      <c r="P1537" s="25">
        <f t="shared" si="48"/>
        <v>1.6712791249607672E-2</v>
      </c>
    </row>
    <row r="1538" spans="10:16">
      <c r="J1538" s="44">
        <v>233.00667000000001</v>
      </c>
      <c r="K1538" s="44">
        <v>238.74</v>
      </c>
      <c r="L1538" s="44">
        <v>232.09833</v>
      </c>
      <c r="M1538" s="44">
        <v>236.51</v>
      </c>
      <c r="N1538" s="44">
        <v>411975</v>
      </c>
      <c r="O1538" s="44" t="s">
        <v>1360</v>
      </c>
      <c r="P1538" s="25">
        <f t="shared" si="48"/>
        <v>-1.4812608346369993E-2</v>
      </c>
    </row>
    <row r="1539" spans="10:16">
      <c r="J1539" s="44">
        <v>235.9</v>
      </c>
      <c r="K1539" s="44">
        <v>236.18665999999999</v>
      </c>
      <c r="L1539" s="44">
        <v>232.274</v>
      </c>
      <c r="M1539" s="44">
        <v>233.03334000000001</v>
      </c>
      <c r="N1539" s="44">
        <v>402153</v>
      </c>
      <c r="O1539" s="44" t="s">
        <v>1361</v>
      </c>
      <c r="P1539" s="25">
        <f t="shared" si="48"/>
        <v>1.2301501579130347E-2</v>
      </c>
    </row>
    <row r="1540" spans="10:16">
      <c r="J1540" s="44">
        <v>232.09334000000001</v>
      </c>
      <c r="K1540" s="44">
        <v>235.85667000000001</v>
      </c>
      <c r="L1540" s="44">
        <v>230.70033000000001</v>
      </c>
      <c r="M1540" s="44">
        <v>233.36</v>
      </c>
      <c r="N1540" s="44">
        <v>534447</v>
      </c>
      <c r="O1540" s="44" t="s">
        <v>1362</v>
      </c>
      <c r="P1540" s="25">
        <f t="shared" si="48"/>
        <v>-5.4279225231401718E-3</v>
      </c>
    </row>
    <row r="1541" spans="10:16">
      <c r="J1541" s="44">
        <v>236.84</v>
      </c>
      <c r="K1541" s="44">
        <v>239.47577000000001</v>
      </c>
      <c r="L1541" s="44">
        <v>234.67166</v>
      </c>
      <c r="M1541" s="44">
        <v>237.70334</v>
      </c>
      <c r="N1541" s="44">
        <v>414651</v>
      </c>
      <c r="O1541" s="44" t="s">
        <v>1363</v>
      </c>
      <c r="P1541" s="25">
        <f t="shared" si="48"/>
        <v>-3.6320061804768766E-3</v>
      </c>
    </row>
    <row r="1542" spans="10:16">
      <c r="J1542" s="44">
        <v>236.51334</v>
      </c>
      <c r="K1542" s="44">
        <v>239.29666</v>
      </c>
      <c r="L1542" s="44">
        <v>230.18333000000001</v>
      </c>
      <c r="M1542" s="44">
        <v>232.38333</v>
      </c>
      <c r="N1542" s="44">
        <v>631781</v>
      </c>
      <c r="O1542" s="44" t="s">
        <v>1364</v>
      </c>
      <c r="P1542" s="25">
        <f t="shared" si="48"/>
        <v>1.7772402177040902E-2</v>
      </c>
    </row>
    <row r="1543" spans="10:16">
      <c r="J1543" s="44">
        <v>230.97667000000001</v>
      </c>
      <c r="K1543" s="44">
        <v>238.63</v>
      </c>
      <c r="L1543" s="44">
        <v>230.18333000000001</v>
      </c>
      <c r="M1543" s="44">
        <v>232.66667000000001</v>
      </c>
      <c r="N1543" s="44">
        <v>542029</v>
      </c>
      <c r="O1543" s="44" t="s">
        <v>1365</v>
      </c>
      <c r="P1543" s="25">
        <f t="shared" si="48"/>
        <v>-7.2636102111230949E-3</v>
      </c>
    </row>
    <row r="1544" spans="10:16">
      <c r="J1544" s="44">
        <v>231.05332999999999</v>
      </c>
      <c r="K1544" s="44">
        <v>231.85333</v>
      </c>
      <c r="L1544" s="44">
        <v>226.67667</v>
      </c>
      <c r="M1544" s="44">
        <v>228.33332999999999</v>
      </c>
      <c r="N1544" s="44">
        <v>650465</v>
      </c>
      <c r="O1544" s="44" t="s">
        <v>1366</v>
      </c>
      <c r="P1544" s="25">
        <f t="shared" si="48"/>
        <v>1.1912408933027807E-2</v>
      </c>
    </row>
    <row r="1545" spans="10:16">
      <c r="J1545" s="44">
        <v>224.57666</v>
      </c>
      <c r="K1545" s="44">
        <v>225.97333</v>
      </c>
      <c r="L1545" s="44">
        <v>217.66667000000001</v>
      </c>
      <c r="M1545" s="44">
        <v>218.22</v>
      </c>
      <c r="N1545" s="44">
        <v>522276</v>
      </c>
      <c r="O1545" s="44" t="s">
        <v>1367</v>
      </c>
      <c r="P1545" s="25">
        <f t="shared" si="48"/>
        <v>2.9129593987718749E-2</v>
      </c>
    </row>
    <row r="1546" spans="10:16">
      <c r="J1546" s="44">
        <v>219.17667</v>
      </c>
      <c r="K1546" s="44">
        <v>221.22667000000001</v>
      </c>
      <c r="L1546" s="44">
        <v>215.84666000000001</v>
      </c>
      <c r="M1546" s="44">
        <v>217.38</v>
      </c>
      <c r="N1546" s="44">
        <v>414959</v>
      </c>
      <c r="O1546" s="44" t="s">
        <v>1368</v>
      </c>
      <c r="P1546" s="25">
        <f t="shared" si="48"/>
        <v>8.2651117858127954E-3</v>
      </c>
    </row>
    <row r="1547" spans="10:16">
      <c r="J1547" s="44">
        <v>219.13667000000001</v>
      </c>
      <c r="K1547" s="44">
        <v>225.4</v>
      </c>
      <c r="L1547" s="44">
        <v>218.39332999999999</v>
      </c>
      <c r="M1547" s="44">
        <v>225.21</v>
      </c>
      <c r="N1547" s="44">
        <v>625492</v>
      </c>
      <c r="O1547" s="44" t="s">
        <v>1369</v>
      </c>
      <c r="P1547" s="25">
        <f t="shared" si="48"/>
        <v>-2.6967408196794107E-2</v>
      </c>
    </row>
    <row r="1548" spans="10:16">
      <c r="J1548" s="44">
        <v>222.00667000000001</v>
      </c>
      <c r="K1548" s="44">
        <v>222.48</v>
      </c>
      <c r="L1548" s="44">
        <v>213.88</v>
      </c>
      <c r="M1548" s="44">
        <v>216.15333999999999</v>
      </c>
      <c r="N1548" s="44">
        <v>1236184</v>
      </c>
      <c r="O1548" s="44" t="s">
        <v>1370</v>
      </c>
      <c r="P1548" s="25">
        <f t="shared" si="48"/>
        <v>2.7079526043872537E-2</v>
      </c>
    </row>
    <row r="1549" spans="10:16">
      <c r="J1549" s="44">
        <v>213.98334</v>
      </c>
      <c r="K1549" s="44">
        <v>216.03334000000001</v>
      </c>
      <c r="L1549" s="44">
        <v>211.09666000000001</v>
      </c>
      <c r="M1549" s="44">
        <v>216.03334000000001</v>
      </c>
      <c r="N1549" s="44">
        <v>784340</v>
      </c>
      <c r="O1549" s="44" t="s">
        <v>1371</v>
      </c>
      <c r="P1549" s="25">
        <f t="shared" si="48"/>
        <v>-9.4892760534092124E-3</v>
      </c>
    </row>
    <row r="1550" spans="10:16">
      <c r="J1550" s="44">
        <v>218.52332999999999</v>
      </c>
      <c r="K1550" s="44">
        <v>228.38200000000001</v>
      </c>
      <c r="L1550" s="44">
        <v>216.47386</v>
      </c>
      <c r="M1550" s="44">
        <v>226.33332999999999</v>
      </c>
      <c r="N1550" s="44">
        <v>1341555</v>
      </c>
      <c r="O1550" s="44" t="s">
        <v>1372</v>
      </c>
      <c r="P1550" s="25">
        <f t="shared" si="48"/>
        <v>-3.4506627901423115E-2</v>
      </c>
    </row>
    <row r="1551" spans="10:16">
      <c r="J1551" s="44">
        <v>226.95667</v>
      </c>
      <c r="K1551" s="44">
        <v>230.09666000000001</v>
      </c>
      <c r="L1551" s="44">
        <v>224.49666999999999</v>
      </c>
      <c r="M1551" s="44">
        <v>228.40333999999999</v>
      </c>
      <c r="N1551" s="44">
        <v>819734</v>
      </c>
      <c r="O1551" s="44" t="s">
        <v>1373</v>
      </c>
      <c r="P1551" s="25">
        <f t="shared" si="48"/>
        <v>-6.3338390760835361E-3</v>
      </c>
    </row>
    <row r="1552" spans="10:16">
      <c r="J1552" s="44">
        <v>230.46333000000001</v>
      </c>
      <c r="K1552" s="44">
        <v>241.17667</v>
      </c>
      <c r="L1552" s="44">
        <v>229.88667000000001</v>
      </c>
      <c r="M1552" s="44">
        <v>240.10667000000001</v>
      </c>
      <c r="N1552" s="44">
        <v>770799</v>
      </c>
      <c r="O1552" s="44" t="s">
        <v>1374</v>
      </c>
      <c r="P1552" s="25">
        <f t="shared" si="48"/>
        <v>-4.0162732672107793E-2</v>
      </c>
    </row>
    <row r="1553" spans="10:16">
      <c r="J1553" s="44">
        <v>238.52332999999999</v>
      </c>
      <c r="K1553" s="44">
        <v>242.05250000000001</v>
      </c>
      <c r="L1553" s="44">
        <v>237.04499999999999</v>
      </c>
      <c r="M1553" s="44">
        <v>241.41667000000001</v>
      </c>
      <c r="N1553" s="44">
        <v>378511</v>
      </c>
      <c r="O1553" s="44" t="s">
        <v>1375</v>
      </c>
      <c r="P1553" s="25">
        <f t="shared" si="48"/>
        <v>-1.1984839323647467E-2</v>
      </c>
    </row>
    <row r="1554" spans="10:16">
      <c r="J1554" s="44">
        <v>238.78</v>
      </c>
      <c r="K1554" s="44">
        <v>240.71333000000001</v>
      </c>
      <c r="L1554" s="44">
        <v>237.04683</v>
      </c>
      <c r="M1554" s="44">
        <v>237.47</v>
      </c>
      <c r="N1554" s="44">
        <v>389610</v>
      </c>
      <c r="O1554" s="44" t="s">
        <v>1376</v>
      </c>
      <c r="P1554" s="25">
        <f t="shared" si="48"/>
        <v>5.5164862930054959E-3</v>
      </c>
    </row>
    <row r="1555" spans="10:16">
      <c r="J1555" s="44">
        <v>234.18</v>
      </c>
      <c r="K1555" s="44">
        <v>238.51</v>
      </c>
      <c r="L1555" s="44">
        <v>232.66333</v>
      </c>
      <c r="M1555" s="44">
        <v>237.94333</v>
      </c>
      <c r="N1555" s="44">
        <v>433424</v>
      </c>
      <c r="O1555" s="44" t="s">
        <v>1377</v>
      </c>
      <c r="P1555" s="25">
        <f t="shared" si="48"/>
        <v>-1.5816076878473528E-2</v>
      </c>
    </row>
    <row r="1556" spans="10:16">
      <c r="J1556" s="44">
        <v>235.2</v>
      </c>
      <c r="K1556" s="44">
        <v>242.89667</v>
      </c>
      <c r="L1556" s="44">
        <v>233.75667000000001</v>
      </c>
      <c r="M1556" s="44">
        <v>239.5</v>
      </c>
      <c r="N1556" s="44">
        <v>521284</v>
      </c>
      <c r="O1556" s="44" t="s">
        <v>1378</v>
      </c>
      <c r="P1556" s="25">
        <f t="shared" si="48"/>
        <v>-1.7954070981210934E-2</v>
      </c>
    </row>
    <row r="1557" spans="10:16">
      <c r="J1557" s="44">
        <v>239.82666</v>
      </c>
      <c r="K1557" s="44">
        <v>242.2363</v>
      </c>
      <c r="L1557" s="44">
        <v>234.05167</v>
      </c>
      <c r="M1557" s="44">
        <v>234.45334</v>
      </c>
      <c r="N1557" s="44">
        <v>616906</v>
      </c>
      <c r="O1557" s="44" t="s">
        <v>1379</v>
      </c>
      <c r="P1557" s="25">
        <f t="shared" si="48"/>
        <v>2.2918504807822426E-2</v>
      </c>
    </row>
    <row r="1558" spans="10:16">
      <c r="J1558" s="44">
        <v>231.39</v>
      </c>
      <c r="K1558" s="44">
        <v>239.29</v>
      </c>
      <c r="L1558" s="44">
        <v>230.67500000000001</v>
      </c>
      <c r="M1558" s="44">
        <v>236.66667000000001</v>
      </c>
      <c r="N1558" s="44">
        <v>1041385</v>
      </c>
      <c r="O1558" s="44" t="s">
        <v>1380</v>
      </c>
      <c r="P1558" s="25">
        <f t="shared" si="48"/>
        <v>-2.2295788418369322E-2</v>
      </c>
    </row>
    <row r="1559" spans="10:16">
      <c r="J1559" s="44">
        <v>245.09334000000001</v>
      </c>
      <c r="K1559" s="44">
        <v>249.94919999999999</v>
      </c>
      <c r="L1559" s="44">
        <v>239.25095999999999</v>
      </c>
      <c r="M1559" s="44">
        <v>247.70334</v>
      </c>
      <c r="N1559" s="44">
        <v>829265</v>
      </c>
      <c r="O1559" s="44" t="s">
        <v>1381</v>
      </c>
      <c r="P1559" s="25">
        <f t="shared" si="48"/>
        <v>-1.0536797767845996E-2</v>
      </c>
    </row>
    <row r="1560" spans="10:16">
      <c r="J1560" s="44">
        <v>247.20334</v>
      </c>
      <c r="K1560" s="44">
        <v>252.32666</v>
      </c>
      <c r="L1560" s="44">
        <v>241.37665999999999</v>
      </c>
      <c r="M1560" s="44">
        <v>250.95334</v>
      </c>
      <c r="N1560" s="44">
        <v>1083930</v>
      </c>
      <c r="O1560" s="44" t="s">
        <v>1382</v>
      </c>
      <c r="P1560" s="25">
        <f t="shared" si="48"/>
        <v>-1.4943016897085326E-2</v>
      </c>
    </row>
    <row r="1561" spans="10:16">
      <c r="J1561" s="44">
        <v>255.03666999999999</v>
      </c>
      <c r="K1561" s="44">
        <v>259.61</v>
      </c>
      <c r="L1561" s="44">
        <v>246.11</v>
      </c>
      <c r="M1561" s="44">
        <v>247.33667</v>
      </c>
      <c r="N1561" s="44">
        <v>1078057</v>
      </c>
      <c r="O1561" s="44" t="s">
        <v>1383</v>
      </c>
      <c r="P1561" s="25">
        <f t="shared" si="48"/>
        <v>3.1131655488043863E-2</v>
      </c>
    </row>
    <row r="1562" spans="10:16">
      <c r="J1562" s="44">
        <v>247.19</v>
      </c>
      <c r="K1562" s="44">
        <v>247.48</v>
      </c>
      <c r="L1562" s="44">
        <v>242.43665999999999</v>
      </c>
      <c r="M1562" s="44">
        <v>244.15</v>
      </c>
      <c r="N1562" s="44">
        <v>521311</v>
      </c>
      <c r="O1562" s="44" t="s">
        <v>1384</v>
      </c>
      <c r="P1562" s="25">
        <f t="shared" si="48"/>
        <v>1.2451361867704236E-2</v>
      </c>
    </row>
    <row r="1563" spans="10:16">
      <c r="J1563" s="44">
        <v>243.61332999999999</v>
      </c>
      <c r="K1563" s="44">
        <v>244.81666999999999</v>
      </c>
      <c r="L1563" s="44">
        <v>240.33332999999999</v>
      </c>
      <c r="M1563" s="44">
        <v>241.05667</v>
      </c>
      <c r="N1563" s="44">
        <v>602540</v>
      </c>
      <c r="O1563" s="44" t="s">
        <v>1385</v>
      </c>
      <c r="P1563" s="25">
        <f t="shared" si="48"/>
        <v>1.0606053754911526E-2</v>
      </c>
    </row>
    <row r="1564" spans="10:16">
      <c r="J1564" s="44">
        <v>242.33667</v>
      </c>
      <c r="K1564" s="44">
        <v>243.31666999999999</v>
      </c>
      <c r="L1564" s="44">
        <v>236.23</v>
      </c>
      <c r="M1564" s="44">
        <v>237.78</v>
      </c>
      <c r="N1564" s="44">
        <v>646888</v>
      </c>
      <c r="O1564" s="44" t="s">
        <v>1386</v>
      </c>
      <c r="P1564" s="25">
        <f t="shared" si="48"/>
        <v>1.9163386323492348E-2</v>
      </c>
    </row>
    <row r="1565" spans="10:16">
      <c r="J1565" s="44">
        <v>236.46333000000001</v>
      </c>
      <c r="K1565" s="44">
        <v>239.37</v>
      </c>
      <c r="L1565" s="44">
        <v>230.70500000000001</v>
      </c>
      <c r="M1565" s="44">
        <v>233.61</v>
      </c>
      <c r="N1565" s="44">
        <v>863706</v>
      </c>
      <c r="O1565" s="44" t="s">
        <v>1387</v>
      </c>
      <c r="P1565" s="25">
        <f t="shared" si="48"/>
        <v>1.2214074739951286E-2</v>
      </c>
    </row>
    <row r="1566" spans="10:16">
      <c r="J1566" s="44">
        <v>233.33</v>
      </c>
      <c r="K1566" s="44">
        <v>233.82666</v>
      </c>
      <c r="L1566" s="44">
        <v>230.93</v>
      </c>
      <c r="M1566" s="44">
        <v>233.33332999999999</v>
      </c>
      <c r="N1566" s="44">
        <v>512688</v>
      </c>
      <c r="O1566" s="44" t="s">
        <v>1388</v>
      </c>
      <c r="P1566" s="25">
        <f t="shared" si="48"/>
        <v>-1.4271428775192163E-5</v>
      </c>
    </row>
    <row r="1567" spans="10:16">
      <c r="J1567" s="44">
        <v>233.16667000000001</v>
      </c>
      <c r="K1567" s="44">
        <v>233.61667</v>
      </c>
      <c r="L1567" s="44">
        <v>231.39433</v>
      </c>
      <c r="M1567" s="44">
        <v>231.92667</v>
      </c>
      <c r="N1567" s="44">
        <v>496710</v>
      </c>
      <c r="O1567" s="44" t="s">
        <v>1389</v>
      </c>
      <c r="P1567" s="25">
        <f t="shared" si="48"/>
        <v>5.3465175005531496E-3</v>
      </c>
    </row>
    <row r="1568" spans="10:16">
      <c r="J1568" s="44">
        <v>231.91333</v>
      </c>
      <c r="K1568" s="44">
        <v>233.98666</v>
      </c>
      <c r="L1568" s="44">
        <v>229.76334</v>
      </c>
      <c r="M1568" s="44">
        <v>233</v>
      </c>
      <c r="N1568" s="44">
        <v>527391</v>
      </c>
      <c r="O1568" s="44" t="s">
        <v>1390</v>
      </c>
      <c r="P1568" s="25">
        <f t="shared" si="48"/>
        <v>-4.6638197424893058E-3</v>
      </c>
    </row>
    <row r="1569" spans="10:16">
      <c r="J1569" s="44">
        <v>231.29333</v>
      </c>
      <c r="K1569" s="44">
        <v>231.65834000000001</v>
      </c>
      <c r="L1569" s="44">
        <v>228.89417</v>
      </c>
      <c r="M1569" s="44">
        <v>230.18</v>
      </c>
      <c r="N1569" s="44">
        <v>529843</v>
      </c>
      <c r="O1569" s="44" t="s">
        <v>1391</v>
      </c>
      <c r="P1569" s="25">
        <f t="shared" si="48"/>
        <v>4.8367799113737675E-3</v>
      </c>
    </row>
    <row r="1570" spans="10:16">
      <c r="J1570" s="44">
        <v>231.01666</v>
      </c>
      <c r="K1570" s="44">
        <v>231.73500000000001</v>
      </c>
      <c r="L1570" s="44">
        <v>229.00333000000001</v>
      </c>
      <c r="M1570" s="44">
        <v>229.75</v>
      </c>
      <c r="N1570" s="44">
        <v>289562</v>
      </c>
      <c r="O1570" s="44" t="s">
        <v>1392</v>
      </c>
      <c r="P1570" s="25">
        <f t="shared" si="48"/>
        <v>5.513210010881453E-3</v>
      </c>
    </row>
    <row r="1571" spans="10:16">
      <c r="J1571" s="44">
        <v>230.47</v>
      </c>
      <c r="K1571" s="44">
        <v>233</v>
      </c>
      <c r="L1571" s="44">
        <v>229.88667000000001</v>
      </c>
      <c r="M1571" s="44">
        <v>231.66667000000001</v>
      </c>
      <c r="N1571" s="44">
        <v>506178</v>
      </c>
      <c r="O1571" s="44" t="s">
        <v>1393</v>
      </c>
      <c r="P1571" s="25">
        <f t="shared" si="48"/>
        <v>-5.1654819400650531E-3</v>
      </c>
    </row>
    <row r="1572" spans="10:16">
      <c r="J1572" s="44">
        <v>230.79666</v>
      </c>
      <c r="K1572" s="44">
        <v>232.065</v>
      </c>
      <c r="L1572" s="44">
        <v>230.245</v>
      </c>
      <c r="M1572" s="44">
        <v>230.54333</v>
      </c>
      <c r="N1572" s="44">
        <v>405514</v>
      </c>
      <c r="O1572" s="44" t="s">
        <v>1394</v>
      </c>
      <c r="P1572" s="25">
        <f t="shared" si="48"/>
        <v>1.098838990484019E-3</v>
      </c>
    </row>
    <row r="1573" spans="10:16">
      <c r="J1573" s="44">
        <v>231.33332999999999</v>
      </c>
      <c r="K1573" s="44">
        <v>231.68665999999999</v>
      </c>
      <c r="L1573" s="44">
        <v>228.11332999999999</v>
      </c>
      <c r="M1573" s="44">
        <v>228.34</v>
      </c>
      <c r="N1573" s="44">
        <v>421320</v>
      </c>
      <c r="O1573" s="44" t="s">
        <v>1395</v>
      </c>
      <c r="P1573" s="25">
        <f t="shared" si="48"/>
        <v>1.3109091705351572E-2</v>
      </c>
    </row>
    <row r="1574" spans="10:16">
      <c r="J1574" s="44">
        <v>228.17334</v>
      </c>
      <c r="K1574" s="44">
        <v>230.84666000000001</v>
      </c>
      <c r="L1574" s="44">
        <v>227.11667</v>
      </c>
      <c r="M1574" s="44">
        <v>230.84666000000001</v>
      </c>
      <c r="N1574" s="44">
        <v>295953</v>
      </c>
      <c r="O1574" s="44" t="s">
        <v>1396</v>
      </c>
      <c r="P1574" s="25">
        <f t="shared" si="48"/>
        <v>-1.1580501099734408E-2</v>
      </c>
    </row>
    <row r="1575" spans="10:16">
      <c r="J1575" s="44">
        <v>230.18665999999999</v>
      </c>
      <c r="K1575" s="44">
        <v>231.33332999999999</v>
      </c>
      <c r="L1575" s="44">
        <v>226.696</v>
      </c>
      <c r="M1575" s="44">
        <v>227.57333</v>
      </c>
      <c r="N1575" s="44">
        <v>274622</v>
      </c>
      <c r="O1575" s="44" t="s">
        <v>1397</v>
      </c>
      <c r="P1575" s="25">
        <f t="shared" si="48"/>
        <v>1.1483463374201142E-2</v>
      </c>
    </row>
    <row r="1576" spans="10:16">
      <c r="J1576" s="44">
        <v>227.69667000000001</v>
      </c>
      <c r="K1576" s="44">
        <v>228.66499999999999</v>
      </c>
      <c r="L1576" s="44">
        <v>224.25667000000001</v>
      </c>
      <c r="M1576" s="44">
        <v>225.41333</v>
      </c>
      <c r="N1576" s="44">
        <v>479221</v>
      </c>
      <c r="O1576" s="44" t="s">
        <v>1398</v>
      </c>
      <c r="P1576" s="25">
        <f t="shared" si="48"/>
        <v>1.012956953344335E-2</v>
      </c>
    </row>
    <row r="1577" spans="10:16">
      <c r="J1577" s="44">
        <v>225</v>
      </c>
      <c r="K1577" s="44">
        <v>228.66333</v>
      </c>
      <c r="L1577" s="44">
        <v>223.87477000000001</v>
      </c>
      <c r="M1577" s="44">
        <v>228.66333</v>
      </c>
      <c r="N1577" s="44">
        <v>335330</v>
      </c>
      <c r="O1577" s="44" t="s">
        <v>1399</v>
      </c>
      <c r="P1577" s="25">
        <f t="shared" si="48"/>
        <v>-1.6020627356384654E-2</v>
      </c>
    </row>
    <row r="1578" spans="10:16">
      <c r="J1578" s="44">
        <v>227.66667000000001</v>
      </c>
      <c r="K1578" s="44">
        <v>228.44667000000001</v>
      </c>
      <c r="L1578" s="44">
        <v>225.33</v>
      </c>
      <c r="M1578" s="44">
        <v>228.24666999999999</v>
      </c>
      <c r="N1578" s="44">
        <v>301610</v>
      </c>
      <c r="O1578" s="44" t="s">
        <v>1400</v>
      </c>
      <c r="P1578" s="25">
        <f t="shared" si="48"/>
        <v>-2.5411104573835885E-3</v>
      </c>
    </row>
    <row r="1579" spans="10:16">
      <c r="J1579" s="44">
        <v>228.61667</v>
      </c>
      <c r="K1579" s="44">
        <v>231.36667</v>
      </c>
      <c r="L1579" s="44">
        <v>226.67334</v>
      </c>
      <c r="M1579" s="44">
        <v>230.34</v>
      </c>
      <c r="N1579" s="44">
        <v>370119</v>
      </c>
      <c r="O1579" s="44" t="s">
        <v>1401</v>
      </c>
      <c r="P1579" s="25">
        <f t="shared" si="48"/>
        <v>-7.4816792567509172E-3</v>
      </c>
    </row>
    <row r="1580" spans="10:16">
      <c r="J1580" s="44">
        <v>230.41667000000001</v>
      </c>
      <c r="K1580" s="44">
        <v>230.84334000000001</v>
      </c>
      <c r="L1580" s="44">
        <v>225.36332999999999</v>
      </c>
      <c r="M1580" s="44">
        <v>230.06666999999999</v>
      </c>
      <c r="N1580" s="44">
        <v>336991</v>
      </c>
      <c r="O1580" s="44" t="s">
        <v>1402</v>
      </c>
      <c r="P1580" s="25">
        <f t="shared" ref="P1580:P1618" si="49">J1580/M1580-1</f>
        <v>1.521298152400874E-3</v>
      </c>
    </row>
    <row r="1581" spans="10:16">
      <c r="J1581" s="44">
        <v>230.96333000000001</v>
      </c>
      <c r="K1581" s="44">
        <v>232.52167</v>
      </c>
      <c r="L1581" s="44">
        <v>228.44</v>
      </c>
      <c r="M1581" s="44">
        <v>229.21665999999999</v>
      </c>
      <c r="N1581" s="44">
        <v>471362</v>
      </c>
      <c r="O1581" s="44" t="s">
        <v>1403</v>
      </c>
      <c r="P1581" s="25">
        <f t="shared" si="49"/>
        <v>7.6201703663252296E-3</v>
      </c>
    </row>
    <row r="1582" spans="10:16">
      <c r="J1582" s="44">
        <v>227.83332999999999</v>
      </c>
      <c r="K1582" s="44">
        <v>229.80330000000001</v>
      </c>
      <c r="L1582" s="44">
        <v>227.16667000000001</v>
      </c>
      <c r="M1582" s="44">
        <v>229.07666</v>
      </c>
      <c r="N1582" s="44">
        <v>398852</v>
      </c>
      <c r="O1582" s="44" t="s">
        <v>1404</v>
      </c>
      <c r="P1582" s="25">
        <f t="shared" si="49"/>
        <v>-5.4275717133295265E-3</v>
      </c>
    </row>
    <row r="1583" spans="10:16">
      <c r="J1583" s="44">
        <v>229.64667</v>
      </c>
      <c r="K1583" s="44">
        <v>231.08</v>
      </c>
      <c r="L1583" s="44">
        <v>228.45667</v>
      </c>
      <c r="M1583" s="44">
        <v>228.58332999999999</v>
      </c>
      <c r="N1583" s="44">
        <v>489554</v>
      </c>
      <c r="O1583" s="44" t="s">
        <v>1405</v>
      </c>
      <c r="P1583" s="25">
        <f t="shared" si="49"/>
        <v>4.651870282929238E-3</v>
      </c>
    </row>
    <row r="1584" spans="10:16">
      <c r="J1584" s="44">
        <v>228.48</v>
      </c>
      <c r="K1584" s="44">
        <v>230.21333000000001</v>
      </c>
      <c r="L1584" s="44">
        <v>225.24</v>
      </c>
      <c r="M1584" s="44">
        <v>229.28334000000001</v>
      </c>
      <c r="N1584" s="44">
        <v>547284</v>
      </c>
      <c r="O1584" s="44" t="s">
        <v>1406</v>
      </c>
      <c r="P1584" s="25">
        <f t="shared" si="49"/>
        <v>-3.5036998327049318E-3</v>
      </c>
    </row>
    <row r="1585" spans="10:16">
      <c r="J1585" s="44">
        <v>229.13</v>
      </c>
      <c r="K1585" s="44">
        <v>230.76334</v>
      </c>
      <c r="L1585" s="44">
        <v>226.70334</v>
      </c>
      <c r="M1585" s="44">
        <v>229.65333999999999</v>
      </c>
      <c r="N1585" s="44">
        <v>546979</v>
      </c>
      <c r="O1585" s="44" t="s">
        <v>1407</v>
      </c>
      <c r="P1585" s="25">
        <f t="shared" si="49"/>
        <v>-2.2788259905124342E-3</v>
      </c>
    </row>
    <row r="1586" spans="10:16">
      <c r="J1586" s="44">
        <v>231.93</v>
      </c>
      <c r="K1586" s="44">
        <v>234.66667000000001</v>
      </c>
      <c r="L1586" s="44">
        <v>226.66833</v>
      </c>
      <c r="M1586" s="44">
        <v>227.57333</v>
      </c>
      <c r="N1586" s="44">
        <v>801060</v>
      </c>
      <c r="O1586" s="44" t="s">
        <v>1408</v>
      </c>
      <c r="P1586" s="25">
        <f t="shared" si="49"/>
        <v>1.914402711424934E-2</v>
      </c>
    </row>
    <row r="1587" spans="10:16">
      <c r="J1587" s="44">
        <v>226.56334000000001</v>
      </c>
      <c r="K1587" s="44">
        <v>228.33332999999999</v>
      </c>
      <c r="L1587" s="44">
        <v>224.75</v>
      </c>
      <c r="M1587" s="44">
        <v>226.66667000000001</v>
      </c>
      <c r="N1587" s="44">
        <v>429717</v>
      </c>
      <c r="O1587" s="44" t="s">
        <v>1409</v>
      </c>
      <c r="P1587" s="25">
        <f t="shared" si="49"/>
        <v>-4.5586764035487892E-4</v>
      </c>
    </row>
    <row r="1588" spans="10:16">
      <c r="J1588" s="44">
        <v>228.45</v>
      </c>
      <c r="K1588" s="44">
        <v>229.94333</v>
      </c>
      <c r="L1588" s="44">
        <v>222.69333</v>
      </c>
      <c r="M1588" s="44">
        <v>224.35667000000001</v>
      </c>
      <c r="N1588" s="44">
        <v>558331</v>
      </c>
      <c r="O1588" s="44" t="s">
        <v>1410</v>
      </c>
      <c r="P1588" s="25">
        <f t="shared" si="49"/>
        <v>1.8244743960587284E-2</v>
      </c>
    </row>
    <row r="1589" spans="10:16">
      <c r="J1589" s="44">
        <v>225.11</v>
      </c>
      <c r="K1589" s="44">
        <v>225.7</v>
      </c>
      <c r="L1589" s="44">
        <v>219.66</v>
      </c>
      <c r="M1589" s="44">
        <v>221.71</v>
      </c>
      <c r="N1589" s="44">
        <v>790382</v>
      </c>
      <c r="O1589" s="44" t="s">
        <v>1411</v>
      </c>
      <c r="P1589" s="25">
        <f t="shared" si="49"/>
        <v>1.5335347977087244E-2</v>
      </c>
    </row>
    <row r="1590" spans="10:16">
      <c r="J1590" s="44">
        <v>228.85</v>
      </c>
      <c r="K1590" s="44">
        <v>233.23996</v>
      </c>
      <c r="L1590" s="44">
        <v>223.90665999999999</v>
      </c>
      <c r="M1590" s="44">
        <v>228.26334</v>
      </c>
      <c r="N1590" s="44">
        <v>820662</v>
      </c>
      <c r="O1590" s="44" t="s">
        <v>1412</v>
      </c>
      <c r="P1590" s="25">
        <f t="shared" si="49"/>
        <v>2.5701017079657884E-3</v>
      </c>
    </row>
    <row r="1591" spans="10:16">
      <c r="J1591" s="44">
        <v>227.11332999999999</v>
      </c>
      <c r="K1591" s="44">
        <v>228.28165999999999</v>
      </c>
      <c r="L1591" s="44">
        <v>220.00667000000001</v>
      </c>
      <c r="M1591" s="44">
        <v>223.15</v>
      </c>
      <c r="N1591" s="44">
        <v>1132173</v>
      </c>
      <c r="O1591" s="44" t="s">
        <v>1413</v>
      </c>
      <c r="P1591" s="25">
        <f t="shared" si="49"/>
        <v>1.7760833520053643E-2</v>
      </c>
    </row>
    <row r="1592" spans="10:16">
      <c r="J1592" s="44">
        <v>219.38333</v>
      </c>
      <c r="K1592" s="44">
        <v>225.02099999999999</v>
      </c>
      <c r="L1592" s="44">
        <v>217.51666</v>
      </c>
      <c r="M1592" s="44">
        <v>222.41059999999999</v>
      </c>
      <c r="N1592" s="44">
        <v>1155447</v>
      </c>
      <c r="O1592" s="44" t="s">
        <v>1414</v>
      </c>
      <c r="P1592" s="25">
        <f t="shared" si="49"/>
        <v>-1.3611176805422009E-2</v>
      </c>
    </row>
    <row r="1593" spans="10:16">
      <c r="J1593" s="44">
        <v>222.51334</v>
      </c>
      <c r="K1593" s="44">
        <v>223.87665999999999</v>
      </c>
      <c r="L1593" s="44">
        <v>210.52332999999999</v>
      </c>
      <c r="M1593" s="44">
        <v>215.14667</v>
      </c>
      <c r="N1593" s="44">
        <v>1097375</v>
      </c>
      <c r="O1593" s="44" t="s">
        <v>1415</v>
      </c>
      <c r="P1593" s="25">
        <f t="shared" si="49"/>
        <v>3.4240223192857133E-2</v>
      </c>
    </row>
    <row r="1594" spans="10:16">
      <c r="J1594" s="44">
        <v>216.91333</v>
      </c>
      <c r="K1594" s="44">
        <v>218.26666</v>
      </c>
      <c r="L1594" s="44">
        <v>202.12</v>
      </c>
      <c r="M1594" s="44">
        <v>203.33332999999999</v>
      </c>
      <c r="N1594" s="44">
        <v>1665162</v>
      </c>
      <c r="O1594" s="44" t="s">
        <v>1416</v>
      </c>
      <c r="P1594" s="25">
        <f t="shared" si="49"/>
        <v>6.6786886340768792E-2</v>
      </c>
    </row>
    <row r="1595" spans="10:16">
      <c r="J1595" s="44">
        <v>201.41667000000001</v>
      </c>
      <c r="K1595" s="44">
        <v>204.25667000000001</v>
      </c>
      <c r="L1595" s="44">
        <v>198.78603000000001</v>
      </c>
      <c r="M1595" s="44">
        <v>201.56666999999999</v>
      </c>
      <c r="N1595" s="44">
        <v>696107</v>
      </c>
      <c r="O1595" s="44" t="s">
        <v>1417</v>
      </c>
      <c r="P1595" s="25">
        <f t="shared" si="49"/>
        <v>-7.441706508322099E-4</v>
      </c>
    </row>
    <row r="1596" spans="10:16">
      <c r="J1596" s="44">
        <v>202.6</v>
      </c>
      <c r="K1596" s="44">
        <v>203</v>
      </c>
      <c r="L1596" s="44">
        <v>196.86</v>
      </c>
      <c r="M1596" s="44">
        <v>197.08332999999999</v>
      </c>
      <c r="N1596" s="44">
        <v>790352</v>
      </c>
      <c r="O1596" s="44" t="s">
        <v>1418</v>
      </c>
      <c r="P1596" s="25">
        <f t="shared" si="49"/>
        <v>2.7991560727129938E-2</v>
      </c>
    </row>
    <row r="1597" spans="10:16">
      <c r="J1597" s="44">
        <v>195.11332999999999</v>
      </c>
      <c r="K1597" s="44">
        <v>195.49332999999999</v>
      </c>
      <c r="L1597" s="44">
        <v>188.73666</v>
      </c>
      <c r="M1597" s="44">
        <v>189.88</v>
      </c>
      <c r="N1597" s="44">
        <v>551457</v>
      </c>
      <c r="O1597" s="44" t="s">
        <v>1419</v>
      </c>
      <c r="P1597" s="25">
        <f t="shared" si="49"/>
        <v>2.756124921002745E-2</v>
      </c>
    </row>
    <row r="1598" spans="10:16">
      <c r="J1598" s="44">
        <v>190.43</v>
      </c>
      <c r="K1598" s="44">
        <v>196.26167000000001</v>
      </c>
      <c r="L1598" s="44">
        <v>190</v>
      </c>
      <c r="M1598" s="44">
        <v>193.05332999999999</v>
      </c>
      <c r="N1598" s="44">
        <v>516914</v>
      </c>
      <c r="O1598" s="44" t="s">
        <v>1420</v>
      </c>
      <c r="P1598" s="25">
        <f t="shared" si="49"/>
        <v>-1.3588628592938412E-2</v>
      </c>
    </row>
    <row r="1599" spans="10:16">
      <c r="J1599" s="44">
        <v>191.95667</v>
      </c>
      <c r="K1599" s="44">
        <v>192.37</v>
      </c>
      <c r="L1599" s="44">
        <v>189.17</v>
      </c>
      <c r="M1599" s="44">
        <v>191.56666999999999</v>
      </c>
      <c r="N1599" s="44">
        <v>309936</v>
      </c>
      <c r="O1599" s="44" t="s">
        <v>1421</v>
      </c>
      <c r="P1599" s="25">
        <f t="shared" si="49"/>
        <v>2.0358447531609869E-3</v>
      </c>
    </row>
    <row r="1600" spans="10:16">
      <c r="J1600" s="44">
        <v>191.49</v>
      </c>
      <c r="K1600" s="44">
        <v>194.40665999999999</v>
      </c>
      <c r="L1600" s="44">
        <v>189.33332999999999</v>
      </c>
      <c r="M1600" s="44">
        <v>193.07333</v>
      </c>
      <c r="N1600" s="44">
        <v>482822</v>
      </c>
      <c r="O1600" s="44" t="s">
        <v>1422</v>
      </c>
      <c r="P1600" s="25">
        <f t="shared" si="49"/>
        <v>-8.2006665550337088E-3</v>
      </c>
    </row>
    <row r="1601" spans="10:16">
      <c r="J1601" s="44">
        <v>193.65333999999999</v>
      </c>
      <c r="K1601" s="44">
        <v>194.35667000000001</v>
      </c>
      <c r="L1601" s="44">
        <v>191.87</v>
      </c>
      <c r="M1601" s="44">
        <v>192.98666</v>
      </c>
      <c r="N1601" s="44">
        <v>381929</v>
      </c>
      <c r="O1601" s="44" t="s">
        <v>1423</v>
      </c>
      <c r="P1601" s="25">
        <f t="shared" si="49"/>
        <v>3.4545392930267482E-3</v>
      </c>
    </row>
    <row r="1602" spans="10:16">
      <c r="J1602" s="44">
        <v>191.78</v>
      </c>
      <c r="K1602" s="44">
        <v>195.64332999999999</v>
      </c>
      <c r="L1602" s="44">
        <v>191.71333000000001</v>
      </c>
      <c r="M1602" s="44">
        <v>193.23334</v>
      </c>
      <c r="N1602" s="44">
        <v>383697</v>
      </c>
      <c r="O1602" s="44" t="s">
        <v>1424</v>
      </c>
      <c r="P1602" s="25">
        <f t="shared" si="49"/>
        <v>-7.5211658609223297E-3</v>
      </c>
    </row>
    <row r="1603" spans="10:16">
      <c r="J1603" s="44">
        <v>194.88</v>
      </c>
      <c r="K1603" s="44">
        <v>197.12334000000001</v>
      </c>
      <c r="L1603" s="44">
        <v>193.7</v>
      </c>
      <c r="M1603" s="44">
        <v>196.29333</v>
      </c>
      <c r="N1603" s="44">
        <v>495439</v>
      </c>
      <c r="O1603" s="44" t="s">
        <v>1425</v>
      </c>
      <c r="P1603" s="25">
        <f t="shared" si="49"/>
        <v>-7.2000918217649534E-3</v>
      </c>
    </row>
    <row r="1604" spans="10:16">
      <c r="J1604" s="44">
        <v>193.49332999999999</v>
      </c>
      <c r="K1604" s="44">
        <v>194.48072999999999</v>
      </c>
      <c r="L1604" s="44">
        <v>192.27667</v>
      </c>
      <c r="M1604" s="44">
        <v>194.09666000000001</v>
      </c>
      <c r="N1604" s="44">
        <v>513407</v>
      </c>
      <c r="O1604" s="44" t="s">
        <v>1426</v>
      </c>
      <c r="P1604" s="25">
        <f t="shared" si="49"/>
        <v>-3.1083997014684783E-3</v>
      </c>
    </row>
    <row r="1605" spans="10:16">
      <c r="J1605" s="44">
        <v>191.84666000000001</v>
      </c>
      <c r="K1605" s="44">
        <v>192.33</v>
      </c>
      <c r="L1605" s="44">
        <v>189.03</v>
      </c>
      <c r="M1605" s="44">
        <v>190.66667000000001</v>
      </c>
      <c r="N1605" s="44">
        <v>464700</v>
      </c>
      <c r="O1605" s="44" t="s">
        <v>1427</v>
      </c>
      <c r="P1605" s="25">
        <f t="shared" si="49"/>
        <v>6.1887586330637845E-3</v>
      </c>
    </row>
    <row r="1606" spans="10:16">
      <c r="J1606" s="44">
        <v>189.94333</v>
      </c>
      <c r="K1606" s="44">
        <v>191.12665999999999</v>
      </c>
      <c r="L1606" s="44">
        <v>183.99332999999999</v>
      </c>
      <c r="M1606" s="44">
        <v>184.88333</v>
      </c>
      <c r="N1606" s="44">
        <v>725417</v>
      </c>
      <c r="O1606" s="44" t="s">
        <v>1428</v>
      </c>
      <c r="P1606" s="25">
        <f t="shared" si="49"/>
        <v>2.73686113291014E-2</v>
      </c>
    </row>
    <row r="1607" spans="10:16">
      <c r="J1607" s="44">
        <v>184.59</v>
      </c>
      <c r="K1607" s="44">
        <v>184.99666999999999</v>
      </c>
      <c r="L1607" s="44">
        <v>181.38667000000001</v>
      </c>
      <c r="M1607" s="44">
        <v>184.50333000000001</v>
      </c>
      <c r="N1607" s="44">
        <v>447654</v>
      </c>
      <c r="O1607" s="44" t="s">
        <v>1429</v>
      </c>
      <c r="P1607" s="25">
        <f t="shared" si="49"/>
        <v>4.6974761918927577E-4</v>
      </c>
    </row>
    <row r="1608" spans="10:16">
      <c r="J1608" s="44">
        <v>183.28334000000001</v>
      </c>
      <c r="K1608" s="44">
        <v>185.95716999999999</v>
      </c>
      <c r="L1608" s="44">
        <v>181.62166999999999</v>
      </c>
      <c r="M1608" s="44">
        <v>185.52332999999999</v>
      </c>
      <c r="N1608" s="44">
        <v>658621</v>
      </c>
      <c r="O1608" s="44" t="s">
        <v>1430</v>
      </c>
      <c r="P1608" s="25">
        <f t="shared" si="49"/>
        <v>-1.2073899277249778E-2</v>
      </c>
    </row>
    <row r="1609" spans="10:16">
      <c r="J1609" s="44">
        <v>185.03666999999999</v>
      </c>
      <c r="K1609" s="44">
        <v>185.76334</v>
      </c>
      <c r="L1609" s="44">
        <v>181.01</v>
      </c>
      <c r="M1609" s="44">
        <v>185.56666999999999</v>
      </c>
      <c r="N1609" s="44">
        <v>716290</v>
      </c>
      <c r="O1609" s="44" t="s">
        <v>1431</v>
      </c>
      <c r="P1609" s="25">
        <f t="shared" si="49"/>
        <v>-2.8561163489111419E-3</v>
      </c>
    </row>
    <row r="1610" spans="10:16">
      <c r="J1610" s="44">
        <v>184.98666</v>
      </c>
      <c r="K1610" s="44">
        <v>194.33667</v>
      </c>
      <c r="L1610" s="44">
        <v>184.14332999999999</v>
      </c>
      <c r="M1610" s="44">
        <v>194.21</v>
      </c>
      <c r="N1610" s="44">
        <v>959665</v>
      </c>
      <c r="O1610" s="44" t="s">
        <v>1432</v>
      </c>
      <c r="P1610" s="25">
        <f t="shared" si="49"/>
        <v>-4.7491581277998129E-2</v>
      </c>
    </row>
    <row r="1611" spans="10:16">
      <c r="J1611" s="44">
        <v>196.17334</v>
      </c>
      <c r="K1611" s="44">
        <v>198.76666</v>
      </c>
      <c r="L1611" s="44">
        <v>195.66667000000001</v>
      </c>
      <c r="M1611" s="44">
        <v>197</v>
      </c>
      <c r="N1611" s="44">
        <v>419980</v>
      </c>
      <c r="O1611" s="44" t="s">
        <v>1433</v>
      </c>
      <c r="P1611" s="25">
        <f t="shared" si="49"/>
        <v>-4.1962436548224069E-3</v>
      </c>
    </row>
    <row r="1612" spans="10:16">
      <c r="J1612" s="44">
        <v>196.32</v>
      </c>
      <c r="K1612" s="44">
        <v>196.76</v>
      </c>
      <c r="L1612" s="44">
        <v>194.16333</v>
      </c>
      <c r="M1612" s="44">
        <v>196.08667</v>
      </c>
      <c r="N1612" s="44">
        <v>535771</v>
      </c>
      <c r="O1612" s="44" t="s">
        <v>1434</v>
      </c>
      <c r="P1612" s="25">
        <f t="shared" si="49"/>
        <v>1.1899330025850752E-3</v>
      </c>
    </row>
    <row r="1613" spans="10:16">
      <c r="J1613" s="44">
        <v>195.84334000000001</v>
      </c>
      <c r="K1613" s="44">
        <v>198.44499999999999</v>
      </c>
      <c r="L1613" s="44">
        <v>193.22333</v>
      </c>
      <c r="M1613" s="44">
        <v>197.23666</v>
      </c>
      <c r="N1613" s="44">
        <v>1156107</v>
      </c>
      <c r="O1613" s="44" t="s">
        <v>1435</v>
      </c>
      <c r="P1613" s="25">
        <f t="shared" si="49"/>
        <v>-7.0642039872302886E-3</v>
      </c>
    </row>
    <row r="1614" spans="10:16">
      <c r="J1614" s="44">
        <v>195.18</v>
      </c>
      <c r="K1614" s="44">
        <v>195.25333000000001</v>
      </c>
      <c r="L1614" s="44">
        <v>192.33</v>
      </c>
      <c r="M1614" s="44">
        <v>192.73334</v>
      </c>
      <c r="N1614" s="44">
        <v>412426</v>
      </c>
      <c r="O1614" s="44" t="s">
        <v>1436</v>
      </c>
      <c r="P1614" s="25">
        <f t="shared" si="49"/>
        <v>1.26945343239524E-2</v>
      </c>
    </row>
    <row r="1615" spans="10:16">
      <c r="J1615" s="44">
        <v>192.83</v>
      </c>
      <c r="K1615" s="44">
        <v>195.21</v>
      </c>
      <c r="L1615" s="44">
        <v>192.19333</v>
      </c>
      <c r="M1615" s="44">
        <v>193.44667000000001</v>
      </c>
      <c r="N1615" s="44">
        <v>388435</v>
      </c>
      <c r="O1615" s="44" t="s">
        <v>1437</v>
      </c>
      <c r="P1615" s="25">
        <f t="shared" si="49"/>
        <v>-3.1878036463486303E-3</v>
      </c>
    </row>
    <row r="1616" spans="10:16">
      <c r="J1616" s="44">
        <v>191.69</v>
      </c>
      <c r="K1616" s="44">
        <v>196.42334</v>
      </c>
      <c r="L1616" s="44">
        <v>190.85333</v>
      </c>
      <c r="M1616" s="44">
        <v>195.96</v>
      </c>
      <c r="N1616" s="44">
        <v>644857</v>
      </c>
      <c r="O1616" s="44" t="s">
        <v>1438</v>
      </c>
      <c r="P1616" s="25">
        <f t="shared" si="49"/>
        <v>-2.1790161257399521E-2</v>
      </c>
    </row>
    <row r="1617" spans="10:16">
      <c r="J1617" s="44">
        <v>190.42667</v>
      </c>
      <c r="K1617" s="44">
        <v>190.66</v>
      </c>
      <c r="L1617" s="44">
        <v>181.62334000000001</v>
      </c>
      <c r="M1617" s="44">
        <v>182.16667000000001</v>
      </c>
      <c r="N1617" s="44">
        <v>615599</v>
      </c>
      <c r="O1617" s="44" t="s">
        <v>1439</v>
      </c>
      <c r="P1617" s="25">
        <f t="shared" si="49"/>
        <v>4.534309157652161E-2</v>
      </c>
    </row>
    <row r="1618" spans="10:16">
      <c r="J1618" s="44">
        <v>186.13667000000001</v>
      </c>
      <c r="K1618" s="44">
        <v>189.78</v>
      </c>
      <c r="L1618" s="44">
        <v>181.84</v>
      </c>
      <c r="M1618" s="44">
        <v>187.67667</v>
      </c>
      <c r="N1618" s="44">
        <v>672639</v>
      </c>
      <c r="O1618" s="44" t="s">
        <v>1440</v>
      </c>
      <c r="P1618" s="25">
        <f t="shared" si="49"/>
        <v>-8.2056016871995263E-3</v>
      </c>
    </row>
  </sheetData>
  <sortState xmlns:xlrd2="http://schemas.microsoft.com/office/spreadsheetml/2017/richdata2" ref="R222:R326">
    <sortCondition ref="R222"/>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63948-7FD9-4D33-AAA7-BDE5D55568DA}">
  <dimension ref="A2"/>
  <sheetViews>
    <sheetView workbookViewId="0">
      <selection activeCell="A2" sqref="A2"/>
    </sheetView>
  </sheetViews>
  <sheetFormatPr defaultColWidth="9.140625" defaultRowHeight="14.25"/>
  <cols>
    <col min="1" max="1" width="3" style="1" customWidth="1"/>
    <col min="2" max="16384" width="9.140625" style="1"/>
  </cols>
  <sheetData>
    <row r="2" spans="1:1" ht="15">
      <c r="A2" s="49" t="s">
        <v>1483</v>
      </c>
    </row>
  </sheetData>
  <hyperlinks>
    <hyperlink ref="A2" r:id="rId1" xr:uid="{E138077D-385E-46F6-87F9-E194CCFB113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36E60-677E-467E-9C59-7853ADE8E695}">
  <dimension ref="A1"/>
  <sheetViews>
    <sheetView workbookViewId="0">
      <selection activeCell="B2" sqref="B2"/>
    </sheetView>
  </sheetViews>
  <sheetFormatPr defaultColWidth="9.140625" defaultRowHeight="14.25"/>
  <cols>
    <col min="1" max="1" width="3" style="1" customWidth="1"/>
    <col min="2" max="16384" width="9.140625" style="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C31F-8910-447E-89B3-28B6120F3B0A}">
  <dimension ref="B2:Z8"/>
  <sheetViews>
    <sheetView workbookViewId="0">
      <selection activeCell="D15" sqref="D15"/>
    </sheetView>
  </sheetViews>
  <sheetFormatPr defaultColWidth="9.140625" defaultRowHeight="14.25"/>
  <cols>
    <col min="1" max="1" width="3.140625" style="1" customWidth="1"/>
    <col min="2" max="16384" width="9.140625" style="1"/>
  </cols>
  <sheetData>
    <row r="2" spans="2:26" ht="15">
      <c r="B2" s="3" t="s">
        <v>10</v>
      </c>
      <c r="C2" s="4"/>
      <c r="D2" s="4"/>
      <c r="E2" s="4"/>
      <c r="F2" s="4"/>
      <c r="G2" s="3" t="s">
        <v>10</v>
      </c>
      <c r="H2" s="5"/>
      <c r="I2" s="5"/>
      <c r="J2" s="5"/>
      <c r="K2" s="5"/>
      <c r="L2" s="5"/>
      <c r="M2" s="5"/>
      <c r="N2" s="5"/>
      <c r="O2" s="5"/>
      <c r="P2" s="5"/>
      <c r="Q2" s="5"/>
      <c r="R2" s="5"/>
      <c r="S2" s="5"/>
      <c r="T2" s="5"/>
      <c r="U2" s="5"/>
      <c r="V2" s="5"/>
      <c r="W2" s="5"/>
      <c r="X2" s="5"/>
      <c r="Y2" s="5"/>
      <c r="Z2" s="6"/>
    </row>
    <row r="3" spans="2:26" ht="15">
      <c r="B3" s="7" t="s">
        <v>11</v>
      </c>
      <c r="C3" s="8"/>
      <c r="D3" s="8"/>
      <c r="E3" s="8"/>
      <c r="F3" s="9"/>
      <c r="G3" s="10" t="s">
        <v>12</v>
      </c>
      <c r="H3" s="10"/>
      <c r="I3" s="10"/>
      <c r="J3" s="10"/>
      <c r="K3" s="10"/>
      <c r="L3" s="10"/>
      <c r="M3" s="10"/>
      <c r="N3" s="10"/>
      <c r="O3" s="10"/>
      <c r="P3" s="10"/>
      <c r="Q3" s="10"/>
      <c r="R3" s="10"/>
      <c r="S3" s="10"/>
      <c r="T3" s="10"/>
      <c r="U3" s="10"/>
      <c r="V3" s="10"/>
      <c r="W3" s="10"/>
      <c r="X3" s="10"/>
      <c r="Y3" s="10"/>
      <c r="Z3" s="11"/>
    </row>
    <row r="4" spans="2:26" ht="15">
      <c r="B4" s="12" t="s">
        <v>11</v>
      </c>
      <c r="C4" s="13"/>
      <c r="D4" s="13"/>
      <c r="E4" s="13"/>
      <c r="F4" s="14"/>
      <c r="G4" s="15" t="s">
        <v>13</v>
      </c>
      <c r="H4" s="15"/>
      <c r="I4" s="15"/>
      <c r="J4" s="15"/>
      <c r="K4" s="15"/>
      <c r="L4" s="15"/>
      <c r="M4" s="15"/>
      <c r="N4" s="15"/>
      <c r="O4" s="15"/>
      <c r="P4" s="15"/>
      <c r="Q4" s="15"/>
      <c r="R4" s="15"/>
      <c r="S4" s="15"/>
      <c r="T4" s="15"/>
      <c r="U4" s="15"/>
      <c r="V4" s="15"/>
      <c r="W4" s="15"/>
      <c r="X4" s="15"/>
      <c r="Y4" s="15"/>
      <c r="Z4" s="16"/>
    </row>
    <row r="5" spans="2:26" ht="15">
      <c r="B5" s="12" t="s">
        <v>11</v>
      </c>
      <c r="C5" s="13"/>
      <c r="D5" s="13"/>
      <c r="E5" s="13"/>
      <c r="F5" s="14"/>
      <c r="G5" s="17" t="s">
        <v>12</v>
      </c>
      <c r="H5" s="17"/>
      <c r="I5" s="17"/>
      <c r="J5" s="17"/>
      <c r="K5" s="17"/>
      <c r="L5" s="17"/>
      <c r="M5" s="17"/>
      <c r="N5" s="17"/>
      <c r="O5" s="17"/>
      <c r="P5" s="17"/>
      <c r="Q5" s="17"/>
      <c r="R5" s="17"/>
      <c r="S5" s="17"/>
      <c r="T5" s="17"/>
      <c r="U5" s="17"/>
      <c r="V5" s="17"/>
      <c r="W5" s="17"/>
      <c r="X5" s="17"/>
      <c r="Y5" s="17"/>
      <c r="Z5" s="18"/>
    </row>
    <row r="6" spans="2:26" ht="15">
      <c r="B6" s="12" t="s">
        <v>11</v>
      </c>
      <c r="C6" s="13"/>
      <c r="D6" s="13"/>
      <c r="E6" s="13"/>
      <c r="F6" s="14"/>
      <c r="G6" s="15" t="s">
        <v>13</v>
      </c>
      <c r="H6" s="15"/>
      <c r="I6" s="15"/>
      <c r="J6" s="15"/>
      <c r="K6" s="15"/>
      <c r="L6" s="15"/>
      <c r="M6" s="15"/>
      <c r="N6" s="15"/>
      <c r="O6" s="15"/>
      <c r="P6" s="15"/>
      <c r="Q6" s="15"/>
      <c r="R6" s="15"/>
      <c r="S6" s="15"/>
      <c r="T6" s="15"/>
      <c r="U6" s="15"/>
      <c r="V6" s="15"/>
      <c r="W6" s="15"/>
      <c r="X6" s="15"/>
      <c r="Y6" s="15"/>
      <c r="Z6" s="16"/>
    </row>
    <row r="7" spans="2:26" ht="15">
      <c r="B7" s="12" t="s">
        <v>11</v>
      </c>
      <c r="C7" s="13"/>
      <c r="D7" s="13"/>
      <c r="E7" s="13"/>
      <c r="F7" s="14"/>
      <c r="G7" s="17" t="s">
        <v>12</v>
      </c>
      <c r="H7" s="17"/>
      <c r="I7" s="17"/>
      <c r="J7" s="17"/>
      <c r="K7" s="17"/>
      <c r="L7" s="17"/>
      <c r="M7" s="17"/>
      <c r="N7" s="17"/>
      <c r="O7" s="17"/>
      <c r="P7" s="17"/>
      <c r="Q7" s="17"/>
      <c r="R7" s="17"/>
      <c r="S7" s="17"/>
      <c r="T7" s="17"/>
      <c r="U7" s="17"/>
      <c r="V7" s="17"/>
      <c r="W7" s="17"/>
      <c r="X7" s="17"/>
      <c r="Y7" s="17"/>
      <c r="Z7" s="18"/>
    </row>
    <row r="8" spans="2:26" ht="15">
      <c r="B8" s="19" t="s">
        <v>11</v>
      </c>
      <c r="C8" s="20"/>
      <c r="D8" s="20"/>
      <c r="E8" s="20"/>
      <c r="F8" s="21"/>
      <c r="G8" s="22" t="s">
        <v>13</v>
      </c>
      <c r="H8" s="22"/>
      <c r="I8" s="22"/>
      <c r="J8" s="22"/>
      <c r="K8" s="22"/>
      <c r="L8" s="22"/>
      <c r="M8" s="22"/>
      <c r="N8" s="22"/>
      <c r="O8" s="22"/>
      <c r="P8" s="22"/>
      <c r="Q8" s="22"/>
      <c r="R8" s="22"/>
      <c r="S8" s="22"/>
      <c r="T8" s="22"/>
      <c r="U8" s="22"/>
      <c r="V8" s="22"/>
      <c r="W8" s="22"/>
      <c r="X8" s="22"/>
      <c r="Y8" s="22"/>
      <c r="Z8"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vt:lpstr>
      <vt:lpstr>Model</vt:lpstr>
      <vt:lpstr>Notes | Quant Analysis</vt:lpstr>
      <vt:lpstr>Product Lines</vt:lpstr>
      <vt:lpstr>Management</vt:lpstr>
      <vt:lpstr>Table 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Jacob H</cp:lastModifiedBy>
  <dcterms:created xsi:type="dcterms:W3CDTF">2015-06-05T18:17:20Z</dcterms:created>
  <dcterms:modified xsi:type="dcterms:W3CDTF">2026-10-22T00:10:01Z</dcterms:modified>
</cp:coreProperties>
</file>