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A2693C37-41CE-4818-A7CF-4C42074216AE}" xr6:coauthVersionLast="47" xr6:coauthVersionMax="47" xr10:uidLastSave="{00000000-0000-0000-0000-000000000000}"/>
  <bookViews>
    <workbookView xWindow="-28920" yWindow="-120" windowWidth="29040" windowHeight="15720" activeTab="2" xr2:uid="{00000000-000D-0000-FFFF-FFFF00000000}"/>
  </bookViews>
  <sheets>
    <sheet name="Main | Overview" sheetId="1" r:id="rId1"/>
    <sheet name="Bull Case (30%)" sheetId="20" r:id="rId2"/>
    <sheet name="Base Case (55%)" sheetId="2" r:id="rId3"/>
    <sheet name="Bear Case (15%)" sheetId="18" r:id="rId4"/>
    <sheet name="Notes | Analysis" sheetId="3" r:id="rId5"/>
    <sheet name="Portfolio | Product Lines" sheetId="4" r:id="rId6"/>
    <sheet name="IPO" sheetId="17" r:id="rId7"/>
    <sheet name="Management" sheetId="6" r:id="rId8"/>
    <sheet name="Clinical Trail Channel" sheetId="5" r:id="rId9"/>
    <sheet name="Peripheral Thrombectomy" sheetId="11" r:id="rId10"/>
    <sheet name="Neuro Thrombectomy" sheetId="12" r:id="rId11"/>
    <sheet name="Peripheral Embolization" sheetId="13" r:id="rId12"/>
    <sheet name="Neuro Embolization" sheetId="14" r:id="rId13"/>
    <sheet name="Access" sheetId="15" r:id="rId14"/>
    <sheet name="Neurosurgical Tools"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W66" i="18" l="1"/>
  <c r="BV66" i="2"/>
  <c r="CB55" i="18"/>
  <c r="BW64" i="18"/>
  <c r="CA55" i="2"/>
  <c r="BV64" i="2"/>
  <c r="CA55" i="20"/>
  <c r="BR5" i="2"/>
  <c r="BR4" i="2"/>
  <c r="BR3" i="2"/>
  <c r="BW55" i="18"/>
  <c r="BU55" i="18"/>
  <c r="BT55" i="18"/>
  <c r="BV55" i="20"/>
  <c r="BT55" i="20"/>
  <c r="BS55" i="20"/>
  <c r="BT55" i="2"/>
  <c r="BR34" i="2"/>
  <c r="BS34" i="18"/>
  <c r="BS5" i="18"/>
  <c r="BS4" i="18"/>
  <c r="BS6" i="18" s="1"/>
  <c r="BS10" i="18" s="1"/>
  <c r="BR89" i="18"/>
  <c r="BR88" i="18"/>
  <c r="BR87" i="18"/>
  <c r="BR86" i="18"/>
  <c r="BR85" i="18"/>
  <c r="BR84" i="18"/>
  <c r="BR81" i="18"/>
  <c r="BR79" i="18"/>
  <c r="BR77" i="18"/>
  <c r="BR76" i="18"/>
  <c r="BR75" i="18"/>
  <c r="BR71" i="18"/>
  <c r="BR73" i="18" s="1"/>
  <c r="BR62" i="18"/>
  <c r="BR45" i="18"/>
  <c r="BR41" i="18"/>
  <c r="BR40" i="18"/>
  <c r="BR39" i="18"/>
  <c r="BR48" i="18" s="1"/>
  <c r="BR38" i="18"/>
  <c r="BR37" i="18"/>
  <c r="BR36" i="18"/>
  <c r="BR47" i="18" s="1"/>
  <c r="BR35" i="18"/>
  <c r="BR34" i="18"/>
  <c r="BR33" i="18"/>
  <c r="BR46" i="18" s="1"/>
  <c r="BR32" i="18"/>
  <c r="BR31" i="18"/>
  <c r="BR30" i="18"/>
  <c r="BR29" i="18"/>
  <c r="BR44" i="18" s="1"/>
  <c r="BR28" i="18"/>
  <c r="BR43" i="18" s="1"/>
  <c r="BR27" i="18"/>
  <c r="BR80" i="18" s="1"/>
  <c r="BR26" i="18"/>
  <c r="BR78" i="18" s="1"/>
  <c r="BR24" i="18"/>
  <c r="BR19" i="18"/>
  <c r="BR17" i="18"/>
  <c r="BR23" i="18" s="1"/>
  <c r="BR16" i="18"/>
  <c r="BR20" i="18" s="1"/>
  <c r="BR15" i="18"/>
  <c r="BR13" i="18"/>
  <c r="BR12" i="18"/>
  <c r="BR8" i="18"/>
  <c r="BR6" i="18"/>
  <c r="BR10" i="18" s="1"/>
  <c r="BR5" i="18"/>
  <c r="BR9" i="18" s="1"/>
  <c r="BR4" i="18"/>
  <c r="BR3" i="18"/>
  <c r="BQ89" i="2"/>
  <c r="BQ88" i="2"/>
  <c r="BQ87" i="2"/>
  <c r="BQ86" i="2"/>
  <c r="BQ85" i="2"/>
  <c r="BQ84" i="2"/>
  <c r="BQ82" i="2"/>
  <c r="BQ77" i="2"/>
  <c r="BQ76" i="2"/>
  <c r="BQ75" i="2"/>
  <c r="BQ73" i="2"/>
  <c r="BQ71" i="2"/>
  <c r="BQ62" i="2"/>
  <c r="BQ43" i="2"/>
  <c r="BQ41" i="2"/>
  <c r="BQ40" i="2"/>
  <c r="BQ39" i="2"/>
  <c r="BQ48" i="2" s="1"/>
  <c r="BQ38" i="2"/>
  <c r="BQ37" i="2"/>
  <c r="BQ36" i="2"/>
  <c r="BQ47" i="2" s="1"/>
  <c r="BQ35" i="2"/>
  <c r="BQ34" i="2"/>
  <c r="BQ33" i="2"/>
  <c r="BQ32" i="2"/>
  <c r="BQ31" i="2"/>
  <c r="BQ30" i="2"/>
  <c r="BQ29" i="2"/>
  <c r="BQ28" i="2"/>
  <c r="BQ27" i="2"/>
  <c r="BQ80" i="2" s="1"/>
  <c r="BQ26" i="2"/>
  <c r="BQ79" i="2" s="1"/>
  <c r="BQ17" i="2"/>
  <c r="BQ21" i="2" s="1"/>
  <c r="BQ16" i="2"/>
  <c r="BQ20" i="2" s="1"/>
  <c r="BQ15" i="2"/>
  <c r="BQ23" i="2" s="1"/>
  <c r="BQ13" i="2"/>
  <c r="BQ12" i="2"/>
  <c r="BQ6" i="2"/>
  <c r="BQ10" i="2" s="1"/>
  <c r="BQ5" i="2"/>
  <c r="BQ9" i="2" s="1"/>
  <c r="BQ4" i="2"/>
  <c r="BQ8" i="2" s="1"/>
  <c r="BQ3" i="2"/>
  <c r="E89" i="18"/>
  <c r="AW88" i="18"/>
  <c r="AV88" i="18"/>
  <c r="AU88" i="18"/>
  <c r="AT88" i="18"/>
  <c r="AS88" i="18"/>
  <c r="AR88" i="18"/>
  <c r="AQ88" i="18"/>
  <c r="AP88" i="18"/>
  <c r="AO88" i="18"/>
  <c r="AN88" i="18"/>
  <c r="AM88" i="18"/>
  <c r="AL88" i="18"/>
  <c r="AK88" i="18"/>
  <c r="AJ88" i="18"/>
  <c r="AI88" i="18"/>
  <c r="AH88" i="18"/>
  <c r="AG88" i="18"/>
  <c r="AF88" i="18"/>
  <c r="AE88" i="18"/>
  <c r="AD88" i="18"/>
  <c r="AC88" i="18"/>
  <c r="AB88" i="18"/>
  <c r="AA88" i="18"/>
  <c r="Z88" i="18"/>
  <c r="Y88" i="18"/>
  <c r="X88" i="18"/>
  <c r="W88" i="18"/>
  <c r="V88" i="18"/>
  <c r="U88" i="18"/>
  <c r="T88" i="18"/>
  <c r="S88" i="18"/>
  <c r="S89" i="18" s="1"/>
  <c r="R88" i="18"/>
  <c r="Q88" i="18"/>
  <c r="P88" i="18"/>
  <c r="O88" i="18"/>
  <c r="N88" i="18"/>
  <c r="M88" i="18"/>
  <c r="L88" i="18"/>
  <c r="K88" i="18"/>
  <c r="K89" i="18" s="1"/>
  <c r="J88" i="18"/>
  <c r="J89" i="18" s="1"/>
  <c r="I88" i="18"/>
  <c r="H88" i="18"/>
  <c r="G88" i="18"/>
  <c r="F88" i="18"/>
  <c r="E88" i="18"/>
  <c r="D88" i="18"/>
  <c r="AW87" i="18"/>
  <c r="AW89" i="18" s="1"/>
  <c r="AV87" i="18"/>
  <c r="AV89" i="18" s="1"/>
  <c r="AT87" i="18"/>
  <c r="AT89" i="18" s="1"/>
  <c r="AN87" i="18"/>
  <c r="AJ87" i="18"/>
  <c r="AJ89" i="18" s="1"/>
  <c r="AF87" i="18"/>
  <c r="AF89" i="18" s="1"/>
  <c r="AB87" i="18"/>
  <c r="AB89" i="18" s="1"/>
  <c r="Y87" i="18"/>
  <c r="X87" i="18"/>
  <c r="X89" i="18" s="1"/>
  <c r="W87" i="18"/>
  <c r="W89" i="18" s="1"/>
  <c r="V87" i="18"/>
  <c r="V89" i="18" s="1"/>
  <c r="U87" i="18"/>
  <c r="U89" i="18" s="1"/>
  <c r="T87" i="18"/>
  <c r="T89" i="18" s="1"/>
  <c r="S87" i="18"/>
  <c r="R87" i="18"/>
  <c r="R89" i="18" s="1"/>
  <c r="Q87" i="18"/>
  <c r="P87" i="18"/>
  <c r="P89" i="18" s="1"/>
  <c r="O87" i="18"/>
  <c r="O89" i="18" s="1"/>
  <c r="N87" i="18"/>
  <c r="N89" i="18" s="1"/>
  <c r="M87" i="18"/>
  <c r="M89" i="18" s="1"/>
  <c r="L87" i="18"/>
  <c r="L89" i="18" s="1"/>
  <c r="K87" i="18"/>
  <c r="J87" i="18"/>
  <c r="I87" i="18"/>
  <c r="H87" i="18"/>
  <c r="H89" i="18" s="1"/>
  <c r="G87" i="18"/>
  <c r="G89" i="18" s="1"/>
  <c r="F87" i="18"/>
  <c r="F89" i="18" s="1"/>
  <c r="E87" i="18"/>
  <c r="D87" i="18"/>
  <c r="D89" i="18" s="1"/>
  <c r="AR86" i="18"/>
  <c r="AO86" i="18"/>
  <c r="AK86" i="18"/>
  <c r="AH86" i="18"/>
  <c r="AG86" i="18"/>
  <c r="AD86" i="18"/>
  <c r="AE86" i="18" s="1"/>
  <c r="AC86" i="18"/>
  <c r="Z86" i="18"/>
  <c r="Y86" i="18"/>
  <c r="AR85" i="18"/>
  <c r="AQ85" i="18"/>
  <c r="AO85" i="18"/>
  <c r="AP85" i="18" s="1"/>
  <c r="AK85" i="18"/>
  <c r="AG85" i="18"/>
  <c r="AG87" i="18" s="1"/>
  <c r="AG89" i="18" s="1"/>
  <c r="AC85" i="18"/>
  <c r="AC87" i="18" s="1"/>
  <c r="AC89" i="18" s="1"/>
  <c r="Y85" i="18"/>
  <c r="AW80" i="18"/>
  <c r="AV80" i="18"/>
  <c r="AT80" i="18"/>
  <c r="AS80" i="18"/>
  <c r="AR80" i="18"/>
  <c r="AP80" i="18"/>
  <c r="AO80" i="18"/>
  <c r="AN80" i="18"/>
  <c r="AL80" i="18"/>
  <c r="AK80" i="18"/>
  <c r="AJ80" i="18"/>
  <c r="AH80" i="18"/>
  <c r="AG80" i="18"/>
  <c r="AF80" i="18"/>
  <c r="AD80" i="18"/>
  <c r="AC80" i="18"/>
  <c r="AB80" i="18"/>
  <c r="Z80" i="18"/>
  <c r="Y80" i="18"/>
  <c r="X80" i="18"/>
  <c r="V80" i="18"/>
  <c r="U80" i="18"/>
  <c r="AP78" i="18"/>
  <c r="AO78" i="18"/>
  <c r="AN78" i="18"/>
  <c r="AL78" i="18"/>
  <c r="AK78" i="18"/>
  <c r="AJ78" i="18"/>
  <c r="AH78" i="18"/>
  <c r="AG78" i="18"/>
  <c r="AF78" i="18"/>
  <c r="AD78" i="18"/>
  <c r="AC78" i="18"/>
  <c r="AB78" i="18"/>
  <c r="Z78" i="18"/>
  <c r="Y78" i="18"/>
  <c r="X78" i="18"/>
  <c r="AW77" i="18"/>
  <c r="AV77" i="18"/>
  <c r="AU77" i="18"/>
  <c r="AT77" i="18"/>
  <c r="AS77" i="18"/>
  <c r="AR77" i="18"/>
  <c r="AQ77" i="18"/>
  <c r="AP77" i="18"/>
  <c r="AO77" i="18"/>
  <c r="AN77" i="18"/>
  <c r="AM77" i="18"/>
  <c r="AL77" i="18"/>
  <c r="AK77" i="18"/>
  <c r="AJ77" i="18"/>
  <c r="AI77" i="18"/>
  <c r="AH77" i="18"/>
  <c r="AG77" i="18"/>
  <c r="AF77" i="18"/>
  <c r="AE77" i="18"/>
  <c r="AD77" i="18"/>
  <c r="AC77" i="18"/>
  <c r="AB77" i="18"/>
  <c r="AA77" i="18"/>
  <c r="Z77" i="18"/>
  <c r="Y77" i="18"/>
  <c r="X77" i="18"/>
  <c r="W77" i="18"/>
  <c r="V77" i="18"/>
  <c r="U77" i="18"/>
  <c r="T77" i="18"/>
  <c r="AW76" i="18"/>
  <c r="AV76" i="18"/>
  <c r="AU76" i="18"/>
  <c r="AT76" i="18"/>
  <c r="AS76" i="18"/>
  <c r="AR76" i="18"/>
  <c r="AQ76" i="18"/>
  <c r="AP76" i="18"/>
  <c r="AO76" i="18"/>
  <c r="AN76" i="18"/>
  <c r="AM76" i="18"/>
  <c r="AL76" i="18"/>
  <c r="AK76" i="18"/>
  <c r="AJ76" i="18"/>
  <c r="AI76" i="18"/>
  <c r="AH76" i="18"/>
  <c r="AG76" i="18"/>
  <c r="AF76" i="18"/>
  <c r="AE76" i="18"/>
  <c r="AD76" i="18"/>
  <c r="AC76" i="18"/>
  <c r="AB76" i="18"/>
  <c r="AA76" i="18"/>
  <c r="Z76" i="18"/>
  <c r="Y76" i="18"/>
  <c r="X76" i="18"/>
  <c r="W76" i="18"/>
  <c r="V76" i="18"/>
  <c r="U76" i="18"/>
  <c r="T76" i="18"/>
  <c r="AW75" i="18"/>
  <c r="AV75" i="18"/>
  <c r="AU75" i="18"/>
  <c r="AT75" i="18"/>
  <c r="AS75" i="18"/>
  <c r="AR75" i="18"/>
  <c r="AQ75" i="18"/>
  <c r="AP75" i="18"/>
  <c r="AO75" i="18"/>
  <c r="AN75" i="18"/>
  <c r="AM75" i="18"/>
  <c r="AL75" i="18"/>
  <c r="AK75" i="18"/>
  <c r="AJ75" i="18"/>
  <c r="AI75" i="18"/>
  <c r="AH75" i="18"/>
  <c r="AG75" i="18"/>
  <c r="AF75" i="18"/>
  <c r="AE75" i="18"/>
  <c r="AD75" i="18"/>
  <c r="AC75" i="18"/>
  <c r="AB75" i="18"/>
  <c r="AA75" i="18"/>
  <c r="Z75" i="18"/>
  <c r="Y75" i="18"/>
  <c r="X75" i="18"/>
  <c r="W75" i="18"/>
  <c r="V75" i="18"/>
  <c r="U75" i="18"/>
  <c r="T75" i="18"/>
  <c r="AV73" i="18"/>
  <c r="AT73" i="18"/>
  <c r="X73" i="18"/>
  <c r="U73" i="18"/>
  <c r="AW71" i="18"/>
  <c r="AW73" i="18" s="1"/>
  <c r="AV71" i="18"/>
  <c r="AU71" i="18"/>
  <c r="AU73" i="18" s="1"/>
  <c r="AT71" i="18"/>
  <c r="AS71" i="18"/>
  <c r="AS73" i="18" s="1"/>
  <c r="AR71" i="18"/>
  <c r="AR73" i="18" s="1"/>
  <c r="AQ71" i="18"/>
  <c r="AQ73" i="18" s="1"/>
  <c r="AP71" i="18"/>
  <c r="AP73" i="18" s="1"/>
  <c r="AO71" i="18"/>
  <c r="AO73" i="18" s="1"/>
  <c r="AN71" i="18"/>
  <c r="AN73" i="18" s="1"/>
  <c r="AM71" i="18"/>
  <c r="AM73" i="18" s="1"/>
  <c r="AL71" i="18"/>
  <c r="AL73" i="18" s="1"/>
  <c r="AK71" i="18"/>
  <c r="AK73" i="18" s="1"/>
  <c r="AJ71" i="18"/>
  <c r="AJ73" i="18" s="1"/>
  <c r="AI71" i="18"/>
  <c r="AI73" i="18" s="1"/>
  <c r="AH71" i="18"/>
  <c r="AH73" i="18" s="1"/>
  <c r="AG71" i="18"/>
  <c r="AG73" i="18" s="1"/>
  <c r="AF71" i="18"/>
  <c r="AF73" i="18" s="1"/>
  <c r="AE71" i="18"/>
  <c r="AE73" i="18" s="1"/>
  <c r="AD71" i="18"/>
  <c r="AD73" i="18" s="1"/>
  <c r="AC71" i="18"/>
  <c r="AC73" i="18" s="1"/>
  <c r="AB71" i="18"/>
  <c r="AB73" i="18" s="1"/>
  <c r="AA71" i="18"/>
  <c r="AA73" i="18" s="1"/>
  <c r="Z71" i="18"/>
  <c r="Z73" i="18" s="1"/>
  <c r="Y71" i="18"/>
  <c r="Y73" i="18" s="1"/>
  <c r="X71" i="18"/>
  <c r="W71" i="18"/>
  <c r="W73" i="18" s="1"/>
  <c r="V71" i="18"/>
  <c r="V73" i="18" s="1"/>
  <c r="U71" i="18"/>
  <c r="T71" i="18"/>
  <c r="T73" i="18" s="1"/>
  <c r="AW62" i="18"/>
  <c r="AV62" i="18"/>
  <c r="AU62" i="18"/>
  <c r="AT62" i="18"/>
  <c r="AS62" i="18"/>
  <c r="AR62" i="18"/>
  <c r="AQ62" i="18"/>
  <c r="AP62" i="18"/>
  <c r="AP79" i="18" s="1"/>
  <c r="AO62" i="18"/>
  <c r="AO79" i="18" s="1"/>
  <c r="AN62" i="18"/>
  <c r="AN79" i="18" s="1"/>
  <c r="AM62" i="18"/>
  <c r="AL62" i="18"/>
  <c r="AL79" i="18" s="1"/>
  <c r="AK62" i="18"/>
  <c r="AK79" i="18" s="1"/>
  <c r="AJ62" i="18"/>
  <c r="AJ79" i="18" s="1"/>
  <c r="AI62" i="18"/>
  <c r="AH62" i="18"/>
  <c r="AH79" i="18" s="1"/>
  <c r="AG62" i="18"/>
  <c r="AG79" i="18" s="1"/>
  <c r="AF62" i="18"/>
  <c r="AF79" i="18" s="1"/>
  <c r="AE62" i="18"/>
  <c r="AD62" i="18"/>
  <c r="AD79" i="18" s="1"/>
  <c r="AC62" i="18"/>
  <c r="AC79" i="18" s="1"/>
  <c r="AB62" i="18"/>
  <c r="AB79" i="18" s="1"/>
  <c r="AA62" i="18"/>
  <c r="Z62" i="18"/>
  <c r="Z79" i="18" s="1"/>
  <c r="Y62" i="18"/>
  <c r="Y79" i="18" s="1"/>
  <c r="X62" i="18"/>
  <c r="X79" i="18" s="1"/>
  <c r="W62" i="18"/>
  <c r="V62" i="18"/>
  <c r="U62" i="18"/>
  <c r="T62" i="18"/>
  <c r="S48" i="18"/>
  <c r="R48" i="18"/>
  <c r="Q48" i="18"/>
  <c r="P48" i="18"/>
  <c r="O48" i="18"/>
  <c r="N48" i="18"/>
  <c r="M48" i="18"/>
  <c r="L48" i="18"/>
  <c r="K48" i="18"/>
  <c r="J48" i="18"/>
  <c r="I48" i="18"/>
  <c r="H48" i="18"/>
  <c r="G48" i="18"/>
  <c r="F48" i="18"/>
  <c r="E48" i="18"/>
  <c r="D48" i="18"/>
  <c r="AP45" i="18"/>
  <c r="AO45" i="18"/>
  <c r="AN45" i="18"/>
  <c r="AL45" i="18"/>
  <c r="AK45" i="18"/>
  <c r="AJ45" i="18"/>
  <c r="AH45" i="18"/>
  <c r="AG45" i="18"/>
  <c r="AF45" i="18"/>
  <c r="AD45" i="18"/>
  <c r="AC45" i="18"/>
  <c r="AB45" i="18"/>
  <c r="Z45" i="18"/>
  <c r="Y45" i="18"/>
  <c r="X45" i="18"/>
  <c r="S45" i="18"/>
  <c r="R45" i="18"/>
  <c r="Q45" i="18"/>
  <c r="P45" i="18"/>
  <c r="O45" i="18"/>
  <c r="N45" i="18"/>
  <c r="M45" i="18"/>
  <c r="L45" i="18"/>
  <c r="K45" i="18"/>
  <c r="J45" i="18"/>
  <c r="I45" i="18"/>
  <c r="H45" i="18"/>
  <c r="G45" i="18"/>
  <c r="F45" i="18"/>
  <c r="E45" i="18"/>
  <c r="D45" i="18"/>
  <c r="AP44" i="18"/>
  <c r="AO44" i="18"/>
  <c r="AN44" i="18"/>
  <c r="AL44" i="18"/>
  <c r="AK44" i="18"/>
  <c r="AJ44" i="18"/>
  <c r="AH44" i="18"/>
  <c r="AG44" i="18"/>
  <c r="AF44" i="18"/>
  <c r="AD44" i="18"/>
  <c r="AC44" i="18"/>
  <c r="AB44" i="18"/>
  <c r="Z44" i="18"/>
  <c r="Y44" i="18"/>
  <c r="X44" i="18"/>
  <c r="S44" i="18"/>
  <c r="R44" i="18"/>
  <c r="Q44" i="18"/>
  <c r="P44" i="18"/>
  <c r="O44" i="18"/>
  <c r="N44" i="18"/>
  <c r="M44" i="18"/>
  <c r="L44" i="18"/>
  <c r="K44" i="18"/>
  <c r="J44" i="18"/>
  <c r="I44" i="18"/>
  <c r="H44" i="18"/>
  <c r="G44" i="18"/>
  <c r="F44" i="18"/>
  <c r="E44" i="18"/>
  <c r="D44" i="18"/>
  <c r="S39" i="18"/>
  <c r="S41" i="18" s="1"/>
  <c r="R39" i="18"/>
  <c r="R84" i="18" s="1"/>
  <c r="Q39" i="18"/>
  <c r="Q41" i="18" s="1"/>
  <c r="P39" i="18"/>
  <c r="P84" i="18" s="1"/>
  <c r="O39" i="18"/>
  <c r="O84" i="18" s="1"/>
  <c r="N39" i="18"/>
  <c r="M39" i="18"/>
  <c r="L39" i="18"/>
  <c r="L41" i="18" s="1"/>
  <c r="K39" i="18"/>
  <c r="K41" i="18" s="1"/>
  <c r="J39" i="18"/>
  <c r="J84" i="18" s="1"/>
  <c r="I39" i="18"/>
  <c r="I41" i="18" s="1"/>
  <c r="H39" i="18"/>
  <c r="H84" i="18" s="1"/>
  <c r="G39" i="18"/>
  <c r="G84" i="18" s="1"/>
  <c r="F39" i="18"/>
  <c r="E39" i="18"/>
  <c r="D39" i="18"/>
  <c r="D41" i="18" s="1"/>
  <c r="AE38" i="18"/>
  <c r="AA38" i="18"/>
  <c r="W38" i="18"/>
  <c r="AU36" i="18"/>
  <c r="AQ36" i="18"/>
  <c r="AM36" i="18"/>
  <c r="AI36" i="18"/>
  <c r="AE36" i="18"/>
  <c r="AA36" i="18"/>
  <c r="W36" i="18"/>
  <c r="AU34" i="18"/>
  <c r="AQ34" i="18"/>
  <c r="AM34" i="18"/>
  <c r="AH34" i="18"/>
  <c r="AG34" i="18"/>
  <c r="AI34" i="18" s="1"/>
  <c r="AF34" i="18"/>
  <c r="AD34" i="18"/>
  <c r="AE34" i="18" s="1"/>
  <c r="AC34" i="18"/>
  <c r="AB34" i="18"/>
  <c r="Z34" i="18"/>
  <c r="Y34" i="18"/>
  <c r="AA34" i="18" s="1"/>
  <c r="X34" i="18"/>
  <c r="V34" i="18"/>
  <c r="U34" i="18"/>
  <c r="T34" i="18"/>
  <c r="AU32" i="18"/>
  <c r="AQ32" i="18"/>
  <c r="AM32" i="18"/>
  <c r="AI32" i="18"/>
  <c r="AE32" i="18"/>
  <c r="AA32" i="18"/>
  <c r="W32" i="18"/>
  <c r="H32" i="18"/>
  <c r="G32" i="18"/>
  <c r="F32" i="18"/>
  <c r="E32" i="18"/>
  <c r="AU31" i="18"/>
  <c r="AQ31" i="18"/>
  <c r="AM31" i="18"/>
  <c r="AI31" i="18"/>
  <c r="AE31" i="18"/>
  <c r="AA31" i="18"/>
  <c r="W31" i="18"/>
  <c r="AU30" i="18"/>
  <c r="AQ30" i="18"/>
  <c r="AM30" i="18"/>
  <c r="AI30" i="18"/>
  <c r="AI45" i="18" s="1"/>
  <c r="AE30" i="18"/>
  <c r="AA30" i="18"/>
  <c r="AA45" i="18" s="1"/>
  <c r="W30" i="18"/>
  <c r="AU29" i="18"/>
  <c r="AQ29" i="18"/>
  <c r="AM29" i="18"/>
  <c r="AI29" i="18"/>
  <c r="AE29" i="18"/>
  <c r="AE44" i="18" s="1"/>
  <c r="AA29" i="18"/>
  <c r="W29" i="18"/>
  <c r="AP28" i="18"/>
  <c r="AP33" i="18" s="1"/>
  <c r="AO28" i="18"/>
  <c r="AO33" i="18" s="1"/>
  <c r="AO35" i="18" s="1"/>
  <c r="AO47" i="18" s="1"/>
  <c r="AN28" i="18"/>
  <c r="AL28" i="18"/>
  <c r="AK28" i="18"/>
  <c r="AK43" i="18" s="1"/>
  <c r="AJ28" i="18"/>
  <c r="AJ33" i="18" s="1"/>
  <c r="AH28" i="18"/>
  <c r="AH33" i="18" s="1"/>
  <c r="AG28" i="18"/>
  <c r="AG33" i="18" s="1"/>
  <c r="AG35" i="18" s="1"/>
  <c r="AG47" i="18" s="1"/>
  <c r="AF28" i="18"/>
  <c r="AD28" i="18"/>
  <c r="AC28" i="18"/>
  <c r="AC43" i="18" s="1"/>
  <c r="AB28" i="18"/>
  <c r="AB33" i="18" s="1"/>
  <c r="Z28" i="18"/>
  <c r="Z33" i="18" s="1"/>
  <c r="Y28" i="18"/>
  <c r="Y33" i="18" s="1"/>
  <c r="Y46" i="18" s="1"/>
  <c r="X28" i="18"/>
  <c r="S28" i="18"/>
  <c r="S43" i="18" s="1"/>
  <c r="R28" i="18"/>
  <c r="R33" i="18" s="1"/>
  <c r="Q28" i="18"/>
  <c r="Q33" i="18" s="1"/>
  <c r="Q35" i="18" s="1"/>
  <c r="Q47" i="18" s="1"/>
  <c r="P28" i="18"/>
  <c r="O28" i="18"/>
  <c r="N28" i="18"/>
  <c r="N43" i="18" s="1"/>
  <c r="M28" i="18"/>
  <c r="L28" i="18"/>
  <c r="L33" i="18" s="1"/>
  <c r="K28" i="18"/>
  <c r="K43" i="18" s="1"/>
  <c r="J28" i="18"/>
  <c r="J33" i="18" s="1"/>
  <c r="I28" i="18"/>
  <c r="I33" i="18" s="1"/>
  <c r="I35" i="18" s="1"/>
  <c r="I47" i="18" s="1"/>
  <c r="H28" i="18"/>
  <c r="G28" i="18"/>
  <c r="F28" i="18"/>
  <c r="F43" i="18" s="1"/>
  <c r="E28" i="18"/>
  <c r="D28" i="18"/>
  <c r="D33" i="18" s="1"/>
  <c r="AU27" i="18"/>
  <c r="AU80" i="18" s="1"/>
  <c r="AQ27" i="18"/>
  <c r="AQ80" i="18" s="1"/>
  <c r="AM27" i="18"/>
  <c r="AM80" i="18" s="1"/>
  <c r="AI27" i="18"/>
  <c r="AI80" i="18" s="1"/>
  <c r="AE27" i="18"/>
  <c r="AE80" i="18" s="1"/>
  <c r="AA27" i="18"/>
  <c r="AA80" i="18" s="1"/>
  <c r="W27" i="18"/>
  <c r="W80" i="18" s="1"/>
  <c r="AS26" i="18"/>
  <c r="AQ26" i="18"/>
  <c r="AQ28" i="18" s="1"/>
  <c r="AM26" i="18"/>
  <c r="AM78" i="18" s="1"/>
  <c r="AI26" i="18"/>
  <c r="AI28" i="18" s="1"/>
  <c r="AE26" i="18"/>
  <c r="AE78" i="18" s="1"/>
  <c r="AA26" i="18"/>
  <c r="AK24" i="18"/>
  <c r="AW21" i="18"/>
  <c r="AB21" i="18"/>
  <c r="AW20" i="18"/>
  <c r="AV20" i="18"/>
  <c r="AT20" i="18"/>
  <c r="AS20" i="18"/>
  <c r="AR20" i="18"/>
  <c r="AP20" i="18"/>
  <c r="AO20" i="18"/>
  <c r="AN20" i="18"/>
  <c r="AL20" i="18"/>
  <c r="AK20" i="18"/>
  <c r="AJ20" i="18"/>
  <c r="AH20" i="18"/>
  <c r="AG20" i="18"/>
  <c r="AF20" i="18"/>
  <c r="AD20" i="18"/>
  <c r="AC20" i="18"/>
  <c r="AB20" i="18"/>
  <c r="AW19" i="18"/>
  <c r="AV19" i="18"/>
  <c r="AT19" i="18"/>
  <c r="AS19" i="18"/>
  <c r="AR19" i="18"/>
  <c r="AP19" i="18"/>
  <c r="AO19" i="18"/>
  <c r="AN19" i="18"/>
  <c r="AL19" i="18"/>
  <c r="AK19" i="18"/>
  <c r="AJ19" i="18"/>
  <c r="AH19" i="18"/>
  <c r="AG19" i="18"/>
  <c r="AF19" i="18"/>
  <c r="AD19" i="18"/>
  <c r="AC19" i="18"/>
  <c r="AB19" i="18"/>
  <c r="Z19" i="18"/>
  <c r="Y19" i="18"/>
  <c r="X19" i="18"/>
  <c r="AW17" i="18"/>
  <c r="AW24" i="18" s="1"/>
  <c r="AV17" i="18"/>
  <c r="AV23" i="18" s="1"/>
  <c r="AT17" i="18"/>
  <c r="AT21" i="18" s="1"/>
  <c r="AS17" i="18"/>
  <c r="AS24" i="18" s="1"/>
  <c r="AR17" i="18"/>
  <c r="AR23" i="18" s="1"/>
  <c r="AP17" i="18"/>
  <c r="AP24" i="18" s="1"/>
  <c r="AO17" i="18"/>
  <c r="AO24" i="18" s="1"/>
  <c r="AN17" i="18"/>
  <c r="AN23" i="18" s="1"/>
  <c r="AL17" i="18"/>
  <c r="AK17" i="18"/>
  <c r="AK21" i="18" s="1"/>
  <c r="AJ17" i="18"/>
  <c r="AJ23" i="18" s="1"/>
  <c r="AH17" i="18"/>
  <c r="AH24" i="18" s="1"/>
  <c r="AG17" i="18"/>
  <c r="AG24" i="18" s="1"/>
  <c r="AF17" i="18"/>
  <c r="AF23" i="18" s="1"/>
  <c r="AD17" i="18"/>
  <c r="AD21" i="18" s="1"/>
  <c r="AC17" i="18"/>
  <c r="AC21" i="18" s="1"/>
  <c r="AB17" i="18"/>
  <c r="AB23" i="18" s="1"/>
  <c r="Z17" i="18"/>
  <c r="Z24" i="18" s="1"/>
  <c r="Y17" i="18"/>
  <c r="Y24" i="18" s="1"/>
  <c r="X17" i="18"/>
  <c r="X23" i="18" s="1"/>
  <c r="AU16" i="18"/>
  <c r="AU20" i="18" s="1"/>
  <c r="AQ16" i="18"/>
  <c r="AQ20" i="18" s="1"/>
  <c r="AM16" i="18"/>
  <c r="AI16" i="18"/>
  <c r="AE16" i="18"/>
  <c r="AE20" i="18" s="1"/>
  <c r="AA16" i="18"/>
  <c r="V16" i="18"/>
  <c r="U16" i="18"/>
  <c r="Y20" i="18" s="1"/>
  <c r="T16" i="18"/>
  <c r="X20" i="18" s="1"/>
  <c r="AU15" i="18"/>
  <c r="AU17" i="18" s="1"/>
  <c r="AU21" i="18" s="1"/>
  <c r="AQ15" i="18"/>
  <c r="AQ17" i="18" s="1"/>
  <c r="AM15" i="18"/>
  <c r="AI15" i="18"/>
  <c r="AE15" i="18"/>
  <c r="AA15" i="18"/>
  <c r="AA17" i="18" s="1"/>
  <c r="W15" i="18"/>
  <c r="AW13" i="18"/>
  <c r="AT9" i="18"/>
  <c r="AS9" i="18"/>
  <c r="AR9" i="18"/>
  <c r="AP9" i="18"/>
  <c r="AO9" i="18"/>
  <c r="AN9" i="18"/>
  <c r="AT8" i="18"/>
  <c r="AS8" i="18"/>
  <c r="AR8" i="18"/>
  <c r="AP8" i="18"/>
  <c r="AO8" i="18"/>
  <c r="AN8" i="18"/>
  <c r="AW6" i="18"/>
  <c r="AW12" i="18" s="1"/>
  <c r="AV6" i="18"/>
  <c r="AV12" i="18" s="1"/>
  <c r="AT6" i="18"/>
  <c r="AT10" i="18" s="1"/>
  <c r="AS6" i="18"/>
  <c r="AS12" i="18" s="1"/>
  <c r="AR6" i="18"/>
  <c r="AP6" i="18"/>
  <c r="AP13" i="18" s="1"/>
  <c r="AO6" i="18"/>
  <c r="AO12" i="18" s="1"/>
  <c r="AN6" i="18"/>
  <c r="AN12" i="18" s="1"/>
  <c r="AL6" i="18"/>
  <c r="AL12" i="18" s="1"/>
  <c r="AK6" i="18"/>
  <c r="AK12" i="18" s="1"/>
  <c r="AJ6" i="18"/>
  <c r="AJ12" i="18" s="1"/>
  <c r="AU5" i="18"/>
  <c r="AU9" i="18" s="1"/>
  <c r="AQ5" i="18"/>
  <c r="AM5" i="18"/>
  <c r="AU4" i="18"/>
  <c r="AU8" i="18" s="1"/>
  <c r="AQ4" i="18"/>
  <c r="AM4" i="18"/>
  <c r="AM6" i="18" s="1"/>
  <c r="AM12" i="18" s="1"/>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AV87" i="2"/>
  <c r="AU87" i="2"/>
  <c r="AU89" i="2" s="1"/>
  <c r="AS87" i="2"/>
  <c r="AM87" i="2"/>
  <c r="AM89" i="2" s="1"/>
  <c r="AI87" i="2"/>
  <c r="AE87" i="2"/>
  <c r="AE89" i="2" s="1"/>
  <c r="AA87" i="2"/>
  <c r="W87" i="2"/>
  <c r="W89" i="2" s="1"/>
  <c r="V87" i="2"/>
  <c r="U87" i="2"/>
  <c r="T87" i="2"/>
  <c r="S87" i="2"/>
  <c r="R87" i="2"/>
  <c r="Q87" i="2"/>
  <c r="P87" i="2"/>
  <c r="O87" i="2"/>
  <c r="O89" i="2" s="1"/>
  <c r="N87" i="2"/>
  <c r="M87" i="2"/>
  <c r="L87" i="2"/>
  <c r="K87" i="2"/>
  <c r="J87" i="2"/>
  <c r="I87" i="2"/>
  <c r="H87" i="2"/>
  <c r="G87" i="2"/>
  <c r="G89" i="2" s="1"/>
  <c r="F87" i="2"/>
  <c r="E87" i="2"/>
  <c r="D87" i="2"/>
  <c r="C87" i="2"/>
  <c r="AQ86" i="2"/>
  <c r="AR86" i="2" s="1"/>
  <c r="AT86" i="2" s="1"/>
  <c r="AN86" i="2"/>
  <c r="AO86" i="2" s="1"/>
  <c r="AP86" i="2" s="1"/>
  <c r="AJ86" i="2"/>
  <c r="AF86" i="2"/>
  <c r="AB86" i="2"/>
  <c r="AC86" i="2" s="1"/>
  <c r="AD86" i="2" s="1"/>
  <c r="X86" i="2"/>
  <c r="Y86" i="2" s="1"/>
  <c r="Z86" i="2" s="1"/>
  <c r="AQ85" i="2"/>
  <c r="AN85" i="2"/>
  <c r="AJ85" i="2"/>
  <c r="AF85" i="2"/>
  <c r="AB85" i="2"/>
  <c r="X85" i="2"/>
  <c r="AV80" i="2"/>
  <c r="AU80" i="2"/>
  <c r="AS80" i="2"/>
  <c r="AR80" i="2"/>
  <c r="AQ80" i="2"/>
  <c r="AO80" i="2"/>
  <c r="AN80" i="2"/>
  <c r="AM80" i="2"/>
  <c r="AK80" i="2"/>
  <c r="AJ80" i="2"/>
  <c r="AI80" i="2"/>
  <c r="AG80" i="2"/>
  <c r="AF80" i="2"/>
  <c r="AE80" i="2"/>
  <c r="AC80" i="2"/>
  <c r="AB80" i="2"/>
  <c r="AA80" i="2"/>
  <c r="Y80" i="2"/>
  <c r="X80" i="2"/>
  <c r="W80" i="2"/>
  <c r="U80" i="2"/>
  <c r="T80" i="2"/>
  <c r="AO78" i="2"/>
  <c r="AN78" i="2"/>
  <c r="AM78" i="2"/>
  <c r="AK78" i="2"/>
  <c r="AJ78" i="2"/>
  <c r="AI78" i="2"/>
  <c r="AG78" i="2"/>
  <c r="AF78" i="2"/>
  <c r="AE78" i="2"/>
  <c r="AC78" i="2"/>
  <c r="AB78" i="2"/>
  <c r="AA78" i="2"/>
  <c r="Y78" i="2"/>
  <c r="X78" i="2"/>
  <c r="W78"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AV76" i="2"/>
  <c r="AU76" i="2"/>
  <c r="AT76" i="2"/>
  <c r="AS76" i="2"/>
  <c r="AR76" i="2"/>
  <c r="AQ76" i="2"/>
  <c r="AP76" i="2"/>
  <c r="AO76" i="2"/>
  <c r="AN76" i="2"/>
  <c r="AM76" i="2"/>
  <c r="AL76" i="2"/>
  <c r="AK76" i="2"/>
  <c r="AJ76" i="2"/>
  <c r="AI76" i="2"/>
  <c r="AH76" i="2"/>
  <c r="AG76" i="2"/>
  <c r="AF76" i="2"/>
  <c r="AE76" i="2"/>
  <c r="AD76" i="2"/>
  <c r="AC76" i="2"/>
  <c r="AB76" i="2"/>
  <c r="AA76" i="2"/>
  <c r="Z76" i="2"/>
  <c r="Y76" i="2"/>
  <c r="X76" i="2"/>
  <c r="W76" i="2"/>
  <c r="V76" i="2"/>
  <c r="U76" i="2"/>
  <c r="T76" i="2"/>
  <c r="S76"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AK73" i="2"/>
  <c r="AV71" i="2"/>
  <c r="AV73" i="2" s="1"/>
  <c r="AU71" i="2"/>
  <c r="AU73" i="2" s="1"/>
  <c r="AT71" i="2"/>
  <c r="AT73" i="2" s="1"/>
  <c r="AS71" i="2"/>
  <c r="AS73" i="2" s="1"/>
  <c r="AR71" i="2"/>
  <c r="AR73" i="2" s="1"/>
  <c r="AQ71" i="2"/>
  <c r="AQ73" i="2" s="1"/>
  <c r="AP71" i="2"/>
  <c r="AP73" i="2" s="1"/>
  <c r="AO71" i="2"/>
  <c r="AO73" i="2" s="1"/>
  <c r="AN71" i="2"/>
  <c r="AN73" i="2" s="1"/>
  <c r="AM71" i="2"/>
  <c r="AM73" i="2" s="1"/>
  <c r="AL71" i="2"/>
  <c r="AL73" i="2" s="1"/>
  <c r="AK71" i="2"/>
  <c r="AJ71" i="2"/>
  <c r="AJ73" i="2" s="1"/>
  <c r="AI71" i="2"/>
  <c r="AI73" i="2" s="1"/>
  <c r="AH71" i="2"/>
  <c r="AH73" i="2" s="1"/>
  <c r="AG71" i="2"/>
  <c r="AG73" i="2" s="1"/>
  <c r="AF71" i="2"/>
  <c r="AF73" i="2" s="1"/>
  <c r="AE71" i="2"/>
  <c r="AE73" i="2" s="1"/>
  <c r="AD71" i="2"/>
  <c r="AD73" i="2" s="1"/>
  <c r="AC71" i="2"/>
  <c r="AC73" i="2" s="1"/>
  <c r="AB71" i="2"/>
  <c r="AB73" i="2" s="1"/>
  <c r="AA71" i="2"/>
  <c r="AA73" i="2" s="1"/>
  <c r="Z71" i="2"/>
  <c r="Z73" i="2" s="1"/>
  <c r="Y71" i="2"/>
  <c r="Y73" i="2" s="1"/>
  <c r="X71" i="2"/>
  <c r="X73" i="2" s="1"/>
  <c r="W71" i="2"/>
  <c r="W73" i="2" s="1"/>
  <c r="V71" i="2"/>
  <c r="V73" i="2" s="1"/>
  <c r="U71" i="2"/>
  <c r="U73" i="2" s="1"/>
  <c r="T71" i="2"/>
  <c r="T73" i="2" s="1"/>
  <c r="S71" i="2"/>
  <c r="S73" i="2" s="1"/>
  <c r="AV62" i="2"/>
  <c r="AU62" i="2"/>
  <c r="AT62" i="2"/>
  <c r="AS62" i="2"/>
  <c r="AR62" i="2"/>
  <c r="AQ62" i="2"/>
  <c r="AP62" i="2"/>
  <c r="AO62" i="2"/>
  <c r="AO79" i="2" s="1"/>
  <c r="AN62" i="2"/>
  <c r="AN79" i="2" s="1"/>
  <c r="AM62" i="2"/>
  <c r="AM79" i="2" s="1"/>
  <c r="AL62" i="2"/>
  <c r="AK62" i="2"/>
  <c r="AK79" i="2" s="1"/>
  <c r="AJ62" i="2"/>
  <c r="AJ79" i="2" s="1"/>
  <c r="AI62" i="2"/>
  <c r="AI79" i="2" s="1"/>
  <c r="AH62" i="2"/>
  <c r="AG62" i="2"/>
  <c r="AG79" i="2" s="1"/>
  <c r="AF62" i="2"/>
  <c r="AF79" i="2" s="1"/>
  <c r="AE62" i="2"/>
  <c r="AE79" i="2" s="1"/>
  <c r="AD62" i="2"/>
  <c r="AC62" i="2"/>
  <c r="AC79" i="2" s="1"/>
  <c r="AB62" i="2"/>
  <c r="AB79" i="2" s="1"/>
  <c r="AA62" i="2"/>
  <c r="AA79" i="2" s="1"/>
  <c r="Z62" i="2"/>
  <c r="Y62" i="2"/>
  <c r="Y79" i="2" s="1"/>
  <c r="X62" i="2"/>
  <c r="X79" i="2" s="1"/>
  <c r="W62" i="2"/>
  <c r="W79" i="2" s="1"/>
  <c r="V62" i="2"/>
  <c r="U62" i="2"/>
  <c r="T62" i="2"/>
  <c r="S62" i="2"/>
  <c r="R48" i="2"/>
  <c r="Q48" i="2"/>
  <c r="P48" i="2"/>
  <c r="O48" i="2"/>
  <c r="N48" i="2"/>
  <c r="M48" i="2"/>
  <c r="L48" i="2"/>
  <c r="K48" i="2"/>
  <c r="J48" i="2"/>
  <c r="I48" i="2"/>
  <c r="H48" i="2"/>
  <c r="G48" i="2"/>
  <c r="F48" i="2"/>
  <c r="E48" i="2"/>
  <c r="D48" i="2"/>
  <c r="C48" i="2"/>
  <c r="AO45" i="2"/>
  <c r="AN45" i="2"/>
  <c r="AM45" i="2"/>
  <c r="AK45" i="2"/>
  <c r="AJ45" i="2"/>
  <c r="AI45" i="2"/>
  <c r="AG45" i="2"/>
  <c r="AF45" i="2"/>
  <c r="AE45" i="2"/>
  <c r="AC45" i="2"/>
  <c r="AB45" i="2"/>
  <c r="AA45" i="2"/>
  <c r="Y45" i="2"/>
  <c r="X45" i="2"/>
  <c r="W45" i="2"/>
  <c r="R45" i="2"/>
  <c r="Q45" i="2"/>
  <c r="P45" i="2"/>
  <c r="O45" i="2"/>
  <c r="N45" i="2"/>
  <c r="M45" i="2"/>
  <c r="L45" i="2"/>
  <c r="K45" i="2"/>
  <c r="J45" i="2"/>
  <c r="I45" i="2"/>
  <c r="H45" i="2"/>
  <c r="G45" i="2"/>
  <c r="F45" i="2"/>
  <c r="E45" i="2"/>
  <c r="D45" i="2"/>
  <c r="C45" i="2"/>
  <c r="AO44" i="2"/>
  <c r="AN44" i="2"/>
  <c r="AM44" i="2"/>
  <c r="AK44" i="2"/>
  <c r="AJ44" i="2"/>
  <c r="AI44" i="2"/>
  <c r="AG44" i="2"/>
  <c r="AF44" i="2"/>
  <c r="AE44" i="2"/>
  <c r="AC44" i="2"/>
  <c r="AB44" i="2"/>
  <c r="AA44" i="2"/>
  <c r="Y44" i="2"/>
  <c r="X44" i="2"/>
  <c r="W44" i="2"/>
  <c r="R44" i="2"/>
  <c r="Q44" i="2"/>
  <c r="P44" i="2"/>
  <c r="O44" i="2"/>
  <c r="N44" i="2"/>
  <c r="M44" i="2"/>
  <c r="L44" i="2"/>
  <c r="K44" i="2"/>
  <c r="J44" i="2"/>
  <c r="I44" i="2"/>
  <c r="H44" i="2"/>
  <c r="G44" i="2"/>
  <c r="F44" i="2"/>
  <c r="E44" i="2"/>
  <c r="D44" i="2"/>
  <c r="C44" i="2"/>
  <c r="R39" i="2"/>
  <c r="Q39" i="2"/>
  <c r="P39" i="2"/>
  <c r="P41" i="2" s="1"/>
  <c r="O39" i="2"/>
  <c r="O41" i="2" s="1"/>
  <c r="N39" i="2"/>
  <c r="N84" i="2" s="1"/>
  <c r="M39" i="2"/>
  <c r="M84" i="2" s="1"/>
  <c r="L39" i="2"/>
  <c r="L84" i="2" s="1"/>
  <c r="K39" i="2"/>
  <c r="K84" i="2" s="1"/>
  <c r="J39" i="2"/>
  <c r="I39" i="2"/>
  <c r="H39" i="2"/>
  <c r="H41" i="2" s="1"/>
  <c r="G39" i="2"/>
  <c r="G41" i="2" s="1"/>
  <c r="F39" i="2"/>
  <c r="F84" i="2" s="1"/>
  <c r="E39" i="2"/>
  <c r="E84" i="2" s="1"/>
  <c r="D39" i="2"/>
  <c r="D84" i="2" s="1"/>
  <c r="C39" i="2"/>
  <c r="C84" i="2" s="1"/>
  <c r="AD38" i="2"/>
  <c r="Z38" i="2"/>
  <c r="V38" i="2"/>
  <c r="AT36" i="2"/>
  <c r="AP36" i="2"/>
  <c r="AL36" i="2"/>
  <c r="AH36" i="2"/>
  <c r="AD36" i="2"/>
  <c r="Z36" i="2"/>
  <c r="V36" i="2"/>
  <c r="AT34" i="2"/>
  <c r="AP34" i="2"/>
  <c r="AL34" i="2"/>
  <c r="AH34" i="2"/>
  <c r="AG34" i="2"/>
  <c r="AF34" i="2"/>
  <c r="AE34" i="2"/>
  <c r="AC34" i="2"/>
  <c r="AB34" i="2"/>
  <c r="AA34" i="2"/>
  <c r="AD34" i="2" s="1"/>
  <c r="Y34" i="2"/>
  <c r="X34" i="2"/>
  <c r="W34" i="2"/>
  <c r="U34" i="2"/>
  <c r="U35" i="2" s="1"/>
  <c r="T34" i="2"/>
  <c r="S34" i="2"/>
  <c r="V34" i="2" s="1"/>
  <c r="AT32" i="2"/>
  <c r="AP32" i="2"/>
  <c r="AL32" i="2"/>
  <c r="AH32" i="2"/>
  <c r="AD32" i="2"/>
  <c r="Z32" i="2"/>
  <c r="V32" i="2"/>
  <c r="G32" i="2"/>
  <c r="F32" i="2"/>
  <c r="E32" i="2"/>
  <c r="D32" i="2"/>
  <c r="AT31" i="2"/>
  <c r="AP31" i="2"/>
  <c r="AL31" i="2"/>
  <c r="AH31" i="2"/>
  <c r="AD31" i="2"/>
  <c r="Z31" i="2"/>
  <c r="V31" i="2"/>
  <c r="AT30" i="2"/>
  <c r="AP30" i="2"/>
  <c r="AL30" i="2"/>
  <c r="AH30" i="2"/>
  <c r="AD30" i="2"/>
  <c r="Z30" i="2"/>
  <c r="V30" i="2"/>
  <c r="AT29" i="2"/>
  <c r="AP29" i="2"/>
  <c r="AL29" i="2"/>
  <c r="AH29" i="2"/>
  <c r="AD29" i="2"/>
  <c r="Z29" i="2"/>
  <c r="V29" i="2"/>
  <c r="AO28" i="2"/>
  <c r="AO33" i="2" s="1"/>
  <c r="AN28" i="2"/>
  <c r="AN43" i="2" s="1"/>
  <c r="AM28" i="2"/>
  <c r="AK28" i="2"/>
  <c r="AJ28" i="2"/>
  <c r="AI28" i="2"/>
  <c r="AG28" i="2"/>
  <c r="AG33" i="2" s="1"/>
  <c r="AF28" i="2"/>
  <c r="AF43" i="2" s="1"/>
  <c r="AE28" i="2"/>
  <c r="AC28" i="2"/>
  <c r="AB28" i="2"/>
  <c r="AA28" i="2"/>
  <c r="Y28" i="2"/>
  <c r="Y43" i="2" s="1"/>
  <c r="X28" i="2"/>
  <c r="X43" i="2" s="1"/>
  <c r="W28" i="2"/>
  <c r="R28" i="2"/>
  <c r="R33" i="2" s="1"/>
  <c r="Q28" i="2"/>
  <c r="Q33" i="2" s="1"/>
  <c r="Q35" i="2" s="1"/>
  <c r="Q47" i="2" s="1"/>
  <c r="P28" i="2"/>
  <c r="P43" i="2" s="1"/>
  <c r="O28" i="2"/>
  <c r="O43" i="2" s="1"/>
  <c r="N28" i="2"/>
  <c r="M28" i="2"/>
  <c r="L28" i="2"/>
  <c r="K28" i="2"/>
  <c r="K43" i="2" s="1"/>
  <c r="J28" i="2"/>
  <c r="J33" i="2" s="1"/>
  <c r="I28" i="2"/>
  <c r="I43" i="2" s="1"/>
  <c r="H28" i="2"/>
  <c r="H43" i="2" s="1"/>
  <c r="G28" i="2"/>
  <c r="G43" i="2" s="1"/>
  <c r="F28" i="2"/>
  <c r="E28" i="2"/>
  <c r="E43" i="2" s="1"/>
  <c r="D28" i="2"/>
  <c r="C28" i="2"/>
  <c r="C43" i="2" s="1"/>
  <c r="AT27" i="2"/>
  <c r="AT80" i="2" s="1"/>
  <c r="AP27" i="2"/>
  <c r="AP80" i="2" s="1"/>
  <c r="AL27" i="2"/>
  <c r="AL80" i="2" s="1"/>
  <c r="AH27" i="2"/>
  <c r="AH80" i="2" s="1"/>
  <c r="AD27" i="2"/>
  <c r="AD80" i="2" s="1"/>
  <c r="Z27" i="2"/>
  <c r="Z80" i="2" s="1"/>
  <c r="V27" i="2"/>
  <c r="V80" i="2" s="1"/>
  <c r="AP26" i="2"/>
  <c r="AL26" i="2"/>
  <c r="AH26" i="2"/>
  <c r="AH28" i="2" s="1"/>
  <c r="AD26" i="2"/>
  <c r="Z26" i="2"/>
  <c r="AV20" i="2"/>
  <c r="AU20" i="2"/>
  <c r="AS20" i="2"/>
  <c r="AR20" i="2"/>
  <c r="AQ20" i="2"/>
  <c r="AO20" i="2"/>
  <c r="AN20" i="2"/>
  <c r="AM20" i="2"/>
  <c r="AK20" i="2"/>
  <c r="AJ20" i="2"/>
  <c r="AI20" i="2"/>
  <c r="AG20" i="2"/>
  <c r="AF20" i="2"/>
  <c r="AE20" i="2"/>
  <c r="AC20" i="2"/>
  <c r="AB20" i="2"/>
  <c r="AA20" i="2"/>
  <c r="AV19" i="2"/>
  <c r="AU19" i="2"/>
  <c r="AS19" i="2"/>
  <c r="AR19" i="2"/>
  <c r="AQ19" i="2"/>
  <c r="AO19" i="2"/>
  <c r="AN19" i="2"/>
  <c r="AM19" i="2"/>
  <c r="AK19" i="2"/>
  <c r="AJ19" i="2"/>
  <c r="AI19" i="2"/>
  <c r="AG19" i="2"/>
  <c r="AF19" i="2"/>
  <c r="AE19" i="2"/>
  <c r="AC19" i="2"/>
  <c r="AB19" i="2"/>
  <c r="AA19" i="2"/>
  <c r="Y19" i="2"/>
  <c r="X19" i="2"/>
  <c r="W19" i="2"/>
  <c r="AV17" i="2"/>
  <c r="AU17" i="2"/>
  <c r="AU21" i="2" s="1"/>
  <c r="AS17" i="2"/>
  <c r="AS24" i="2" s="1"/>
  <c r="AR17" i="2"/>
  <c r="AR24" i="2" s="1"/>
  <c r="AQ17" i="2"/>
  <c r="AQ23" i="2" s="1"/>
  <c r="AO17" i="2"/>
  <c r="AO21" i="2" s="1"/>
  <c r="AN17" i="2"/>
  <c r="AM17" i="2"/>
  <c r="AM24" i="2" s="1"/>
  <c r="AK17" i="2"/>
  <c r="AK24" i="2" s="1"/>
  <c r="AJ17" i="2"/>
  <c r="AJ24" i="2" s="1"/>
  <c r="AI17" i="2"/>
  <c r="AI23" i="2" s="1"/>
  <c r="AG17" i="2"/>
  <c r="AF17" i="2"/>
  <c r="AF21" i="2" s="1"/>
  <c r="AE17" i="2"/>
  <c r="AC17" i="2"/>
  <c r="AC24" i="2" s="1"/>
  <c r="AB17" i="2"/>
  <c r="AB24" i="2" s="1"/>
  <c r="AA17" i="2"/>
  <c r="AA23" i="2" s="1"/>
  <c r="Y17" i="2"/>
  <c r="X17" i="2"/>
  <c r="W17" i="2"/>
  <c r="W24" i="2" s="1"/>
  <c r="AT16" i="2"/>
  <c r="AP16" i="2"/>
  <c r="AL16" i="2"/>
  <c r="AL20" i="2" s="1"/>
  <c r="AH16" i="2"/>
  <c r="AD16" i="2"/>
  <c r="Z16" i="2"/>
  <c r="U16" i="2"/>
  <c r="T16" i="2"/>
  <c r="S16" i="2"/>
  <c r="AT15" i="2"/>
  <c r="AT17" i="2" s="1"/>
  <c r="AP15" i="2"/>
  <c r="AL15" i="2"/>
  <c r="AH15" i="2"/>
  <c r="AD15" i="2"/>
  <c r="AD17" i="2" s="1"/>
  <c r="Z15" i="2"/>
  <c r="V15" i="2"/>
  <c r="AS9" i="2"/>
  <c r="AR9" i="2"/>
  <c r="AQ9" i="2"/>
  <c r="AO9" i="2"/>
  <c r="AN9" i="2"/>
  <c r="AM9" i="2"/>
  <c r="AS8" i="2"/>
  <c r="AR8" i="2"/>
  <c r="AQ8" i="2"/>
  <c r="AO8" i="2"/>
  <c r="AN8" i="2"/>
  <c r="AM8" i="2"/>
  <c r="AV6" i="2"/>
  <c r="AV13" i="2" s="1"/>
  <c r="AU6" i="2"/>
  <c r="AS6" i="2"/>
  <c r="AS13" i="2" s="1"/>
  <c r="AR6" i="2"/>
  <c r="AR12" i="2" s="1"/>
  <c r="AQ6" i="2"/>
  <c r="AQ12" i="2" s="1"/>
  <c r="AO6" i="2"/>
  <c r="AO10" i="2" s="1"/>
  <c r="AN6" i="2"/>
  <c r="AN13" i="2" s="1"/>
  <c r="AM6" i="2"/>
  <c r="AK6" i="2"/>
  <c r="AK13" i="2" s="1"/>
  <c r="AJ6" i="2"/>
  <c r="AJ12" i="2" s="1"/>
  <c r="AI6" i="2"/>
  <c r="AI12" i="2" s="1"/>
  <c r="AT5" i="2"/>
  <c r="AP5" i="2"/>
  <c r="AL5" i="2"/>
  <c r="AT4" i="2"/>
  <c r="AT6" i="2" s="1"/>
  <c r="AT12" i="2" s="1"/>
  <c r="AP4" i="2"/>
  <c r="AP8" i="2" s="1"/>
  <c r="AL4" i="2"/>
  <c r="AV71" i="20"/>
  <c r="AV73" i="20" s="1"/>
  <c r="AV88" i="20"/>
  <c r="AU88" i="20"/>
  <c r="AV62" i="20"/>
  <c r="AU62" i="20"/>
  <c r="AU71" i="20"/>
  <c r="AU73" i="20" s="1"/>
  <c r="AV20" i="20"/>
  <c r="AU20" i="20"/>
  <c r="AV19" i="20"/>
  <c r="AU19" i="20"/>
  <c r="AV17" i="20"/>
  <c r="AV23" i="20" s="1"/>
  <c r="AU17" i="20"/>
  <c r="AU23" i="20" s="1"/>
  <c r="BR34" i="20"/>
  <c r="BQ77" i="20"/>
  <c r="BQ76" i="20"/>
  <c r="BQ75" i="20"/>
  <c r="BQ71" i="20"/>
  <c r="BQ73" i="20" s="1"/>
  <c r="BQ62" i="20"/>
  <c r="BQ40" i="20"/>
  <c r="BR40" i="20" s="1"/>
  <c r="BQ38" i="20"/>
  <c r="BQ31" i="20"/>
  <c r="AT16" i="20"/>
  <c r="BQ16" i="20" s="1"/>
  <c r="AT15" i="20"/>
  <c r="BQ15" i="20" s="1"/>
  <c r="AT36" i="20"/>
  <c r="BQ36" i="20" s="1"/>
  <c r="AT34" i="20"/>
  <c r="BQ34" i="20" s="1"/>
  <c r="AT32" i="20"/>
  <c r="BQ32" i="20" s="1"/>
  <c r="AT30" i="20"/>
  <c r="BQ30" i="20" s="1"/>
  <c r="AT29" i="20"/>
  <c r="BQ29" i="20" s="1"/>
  <c r="AT27" i="20"/>
  <c r="AT80" i="20" s="1"/>
  <c r="AT5" i="20"/>
  <c r="BQ5" i="20" s="1"/>
  <c r="AT4" i="20"/>
  <c r="BQ4" i="20" s="1"/>
  <c r="AT88" i="20"/>
  <c r="AT77" i="20"/>
  <c r="AT76" i="20"/>
  <c r="AT75" i="20"/>
  <c r="AT71" i="20"/>
  <c r="AT73" i="20" s="1"/>
  <c r="AT62" i="20"/>
  <c r="AT31" i="20"/>
  <c r="C6" i="1"/>
  <c r="BR6" i="2" l="1"/>
  <c r="BR10" i="2" s="1"/>
  <c r="BR82" i="18"/>
  <c r="BR21" i="18"/>
  <c r="BQ24" i="2"/>
  <c r="BQ81" i="2"/>
  <c r="BQ44" i="2"/>
  <c r="BQ45" i="2"/>
  <c r="BQ19" i="2"/>
  <c r="BQ46" i="2"/>
  <c r="BQ78" i="2"/>
  <c r="AP9" i="2"/>
  <c r="AT20" i="2"/>
  <c r="AP28" i="2"/>
  <c r="AF33" i="2"/>
  <c r="AF35" i="2" s="1"/>
  <c r="AG21" i="2"/>
  <c r="AD44" i="2"/>
  <c r="AB87" i="2"/>
  <c r="AB89" i="2" s="1"/>
  <c r="AA21" i="2"/>
  <c r="AG43" i="2"/>
  <c r="AF87" i="2"/>
  <c r="I89" i="2"/>
  <c r="Q89" i="2"/>
  <c r="J89" i="2"/>
  <c r="R89" i="2"/>
  <c r="AL6" i="2"/>
  <c r="AL12" i="2" s="1"/>
  <c r="AN87" i="2"/>
  <c r="AN89" i="2" s="1"/>
  <c r="AL17" i="2"/>
  <c r="Z34" i="2"/>
  <c r="Q84" i="18"/>
  <c r="AQ8" i="18"/>
  <c r="AS10" i="18"/>
  <c r="U17" i="18"/>
  <c r="U23" i="18" s="1"/>
  <c r="AF21" i="18"/>
  <c r="Z23" i="18"/>
  <c r="AR24" i="18"/>
  <c r="Z43" i="18"/>
  <c r="S84" i="18"/>
  <c r="AP10" i="18"/>
  <c r="AW10" i="18"/>
  <c r="V17" i="18"/>
  <c r="V23" i="18" s="1"/>
  <c r="AG21" i="18"/>
  <c r="AH23" i="18"/>
  <c r="W34" i="18"/>
  <c r="AB43" i="18"/>
  <c r="AA86" i="18"/>
  <c r="D43" i="18"/>
  <c r="AM13" i="18"/>
  <c r="AK13" i="18"/>
  <c r="AS21" i="18"/>
  <c r="AJ21" i="18"/>
  <c r="AP23" i="18"/>
  <c r="AM44" i="18"/>
  <c r="AQ45" i="18"/>
  <c r="G41" i="18"/>
  <c r="Z85" i="18"/>
  <c r="Z87" i="18" s="1"/>
  <c r="Z89" i="18" s="1"/>
  <c r="AL13" i="18"/>
  <c r="Z20" i="18"/>
  <c r="AN21" i="18"/>
  <c r="U24" i="18"/>
  <c r="AQ44" i="18"/>
  <c r="H41" i="18"/>
  <c r="AQ6" i="18"/>
  <c r="AQ12" i="18" s="1"/>
  <c r="AO13" i="18"/>
  <c r="AO21" i="18"/>
  <c r="AB24" i="18"/>
  <c r="J41" i="18"/>
  <c r="AR10" i="18"/>
  <c r="AS13" i="18"/>
  <c r="AM20" i="18"/>
  <c r="AL21" i="18"/>
  <c r="AR21" i="18"/>
  <c r="AC24" i="18"/>
  <c r="O41" i="18"/>
  <c r="I84" i="18"/>
  <c r="AO10" i="18"/>
  <c r="AT13" i="18"/>
  <c r="AU23" i="18"/>
  <c r="AQ24" i="18"/>
  <c r="Y21" i="18"/>
  <c r="AV21" i="18"/>
  <c r="AJ24" i="18"/>
  <c r="K33" i="18"/>
  <c r="K35" i="18" s="1"/>
  <c r="K47" i="18" s="1"/>
  <c r="V35" i="18"/>
  <c r="R41" i="18"/>
  <c r="K84" i="18"/>
  <c r="AI86" i="18"/>
  <c r="AA23" i="18"/>
  <c r="L46" i="18"/>
  <c r="L35" i="18"/>
  <c r="L47" i="18" s="1"/>
  <c r="AB46" i="18"/>
  <c r="AB35" i="18"/>
  <c r="AI33" i="18"/>
  <c r="AI43" i="18"/>
  <c r="AJ46" i="18"/>
  <c r="AJ35" i="18"/>
  <c r="AQ23" i="18"/>
  <c r="D46" i="18"/>
  <c r="D35" i="18"/>
  <c r="D47" i="18" s="1"/>
  <c r="AQ33" i="18"/>
  <c r="AQ43" i="18"/>
  <c r="P43" i="18"/>
  <c r="P33" i="18"/>
  <c r="AR12" i="18"/>
  <c r="AM17" i="18"/>
  <c r="AN10" i="18"/>
  <c r="AV10" i="18"/>
  <c r="AP12" i="18"/>
  <c r="AJ13" i="18"/>
  <c r="AR13" i="18"/>
  <c r="W16" i="18"/>
  <c r="AA20" i="18" s="1"/>
  <c r="AA19" i="18"/>
  <c r="AI19" i="18"/>
  <c r="AQ19" i="18"/>
  <c r="Y23" i="18"/>
  <c r="AG23" i="18"/>
  <c r="AO23" i="18"/>
  <c r="AW23" i="18"/>
  <c r="AA24" i="18"/>
  <c r="U26" i="18"/>
  <c r="AR26" i="18"/>
  <c r="G43" i="18"/>
  <c r="G33" i="18"/>
  <c r="O43" i="18"/>
  <c r="O33" i="18"/>
  <c r="AE28" i="18"/>
  <c r="AM28" i="18"/>
  <c r="S33" i="18"/>
  <c r="Y43" i="18"/>
  <c r="AO46" i="18"/>
  <c r="AE79" i="18"/>
  <c r="AS44" i="18"/>
  <c r="AS79" i="18"/>
  <c r="AS45" i="18"/>
  <c r="AF43" i="18"/>
  <c r="AF33" i="18"/>
  <c r="AE17" i="18"/>
  <c r="AE21" i="18" s="1"/>
  <c r="AT26" i="18"/>
  <c r="AR87" i="18"/>
  <c r="AR89" i="18" s="1"/>
  <c r="AS85" i="18"/>
  <c r="AQ9" i="18"/>
  <c r="AQ10" i="18"/>
  <c r="Z21" i="18"/>
  <c r="AH21" i="18"/>
  <c r="AP21" i="18"/>
  <c r="AD24" i="18"/>
  <c r="AL24" i="18"/>
  <c r="AT24" i="18"/>
  <c r="AA78" i="18"/>
  <c r="AA79" i="18"/>
  <c r="J35" i="18"/>
  <c r="J47" i="18" s="1"/>
  <c r="J46" i="18"/>
  <c r="R35" i="18"/>
  <c r="R47" i="18" s="1"/>
  <c r="R46" i="18"/>
  <c r="Z35" i="18"/>
  <c r="Z46" i="18"/>
  <c r="AH35" i="18"/>
  <c r="AH46" i="18"/>
  <c r="AP35" i="18"/>
  <c r="AP46" i="18"/>
  <c r="J43" i="18"/>
  <c r="AG43" i="18"/>
  <c r="AM79" i="18"/>
  <c r="AU85" i="18"/>
  <c r="V26" i="18"/>
  <c r="X43" i="18"/>
  <c r="X33" i="18"/>
  <c r="AT12" i="18"/>
  <c r="AN13" i="18"/>
  <c r="AV13" i="18"/>
  <c r="AE19" i="18"/>
  <c r="AM19" i="18"/>
  <c r="AU19" i="18"/>
  <c r="AC23" i="18"/>
  <c r="AK23" i="18"/>
  <c r="AS23" i="18"/>
  <c r="AU24" i="18"/>
  <c r="AV26" i="18"/>
  <c r="AA28" i="18"/>
  <c r="AA44" i="18"/>
  <c r="AE45" i="18"/>
  <c r="F33" i="18"/>
  <c r="AC33" i="18"/>
  <c r="P41" i="18"/>
  <c r="L43" i="18"/>
  <c r="AH43" i="18"/>
  <c r="I46" i="18"/>
  <c r="I89" i="18"/>
  <c r="Q89" i="18"/>
  <c r="Y89" i="18"/>
  <c r="AN43" i="18"/>
  <c r="AN33" i="18"/>
  <c r="AU6" i="18"/>
  <c r="AD23" i="18"/>
  <c r="AL23" i="18"/>
  <c r="AT23" i="18"/>
  <c r="X24" i="18"/>
  <c r="AF24" i="18"/>
  <c r="AN24" i="18"/>
  <c r="AV24" i="18"/>
  <c r="AI78" i="18"/>
  <c r="AI79" i="18"/>
  <c r="AW26" i="18"/>
  <c r="AO37" i="18"/>
  <c r="E41" i="18"/>
  <c r="E84" i="18"/>
  <c r="M41" i="18"/>
  <c r="M84" i="18"/>
  <c r="Q43" i="18"/>
  <c r="AJ43" i="18"/>
  <c r="K46" i="18"/>
  <c r="AG46" i="18"/>
  <c r="AI85" i="18"/>
  <c r="AI87" i="18" s="1"/>
  <c r="AI89" i="18" s="1"/>
  <c r="AP86" i="18"/>
  <c r="AP87" i="18" s="1"/>
  <c r="AP89" i="18" s="1"/>
  <c r="AN89" i="18"/>
  <c r="AI20" i="18"/>
  <c r="Y35" i="18"/>
  <c r="AG37" i="18"/>
  <c r="AS78" i="18"/>
  <c r="AI17" i="18"/>
  <c r="AI23" i="18" s="1"/>
  <c r="E43" i="18"/>
  <c r="E33" i="18"/>
  <c r="M43" i="18"/>
  <c r="M33" i="18"/>
  <c r="AS28" i="18"/>
  <c r="AI44" i="18"/>
  <c r="AM45" i="18"/>
  <c r="F41" i="18"/>
  <c r="F84" i="18"/>
  <c r="N41" i="18"/>
  <c r="N84" i="18"/>
  <c r="R43" i="18"/>
  <c r="AO43" i="18"/>
  <c r="AH85" i="18"/>
  <c r="AH87" i="18" s="1"/>
  <c r="AH89" i="18" s="1"/>
  <c r="AS86" i="18"/>
  <c r="AU86" i="18" s="1"/>
  <c r="AO87" i="18"/>
  <c r="AO89" i="18" s="1"/>
  <c r="H43" i="18"/>
  <c r="H33" i="18"/>
  <c r="I43" i="18"/>
  <c r="T17" i="18"/>
  <c r="AQ78" i="18"/>
  <c r="AQ79" i="18"/>
  <c r="AD43" i="18"/>
  <c r="AD33" i="18"/>
  <c r="AL43" i="18"/>
  <c r="AL33" i="18"/>
  <c r="N33" i="18"/>
  <c r="AK33" i="18"/>
  <c r="AP43" i="18"/>
  <c r="Q46" i="18"/>
  <c r="AK87" i="18"/>
  <c r="AK89" i="18" s="1"/>
  <c r="AL85" i="18"/>
  <c r="AL87" i="18" s="1"/>
  <c r="AL89" i="18" s="1"/>
  <c r="D84" i="18"/>
  <c r="L84" i="18"/>
  <c r="AD85" i="18"/>
  <c r="AD87" i="18" s="1"/>
  <c r="AD89" i="18" s="1"/>
  <c r="AL86" i="18"/>
  <c r="AM86" i="18" s="1"/>
  <c r="BR5" i="20"/>
  <c r="BR4" i="20"/>
  <c r="BQ27" i="20"/>
  <c r="AU24" i="2"/>
  <c r="H84" i="2"/>
  <c r="AH20" i="2"/>
  <c r="AV21" i="2"/>
  <c r="AQ21" i="2"/>
  <c r="Z28" i="2"/>
  <c r="Z33" i="2" s="1"/>
  <c r="AL44" i="2"/>
  <c r="P84" i="2"/>
  <c r="AR10" i="2"/>
  <c r="AM21" i="2"/>
  <c r="AC23" i="2"/>
  <c r="AI89" i="2"/>
  <c r="AO85" i="2"/>
  <c r="AO87" i="2" s="1"/>
  <c r="AO89" i="2" s="1"/>
  <c r="AP20" i="2"/>
  <c r="AN21" i="2"/>
  <c r="AK23" i="2"/>
  <c r="C41" i="2"/>
  <c r="C89" i="2"/>
  <c r="K89" i="2"/>
  <c r="S89" i="2"/>
  <c r="AT13" i="2"/>
  <c r="AI21" i="2"/>
  <c r="AU10" i="2"/>
  <c r="AE21" i="2"/>
  <c r="AS23" i="2"/>
  <c r="D41" i="2"/>
  <c r="D89" i="2"/>
  <c r="L89" i="2"/>
  <c r="T89" i="2"/>
  <c r="AS89" i="2"/>
  <c r="AD20" i="2"/>
  <c r="AT8" i="2"/>
  <c r="AM10" i="2"/>
  <c r="AV10" i="2"/>
  <c r="T17" i="2"/>
  <c r="T26" i="2" s="1"/>
  <c r="T44" i="2" s="1"/>
  <c r="G33" i="2"/>
  <c r="G46" i="2" s="1"/>
  <c r="K41" i="2"/>
  <c r="AG85" i="2"/>
  <c r="AH85" i="2" s="1"/>
  <c r="E89" i="2"/>
  <c r="M89" i="2"/>
  <c r="U89" i="2"/>
  <c r="AA89" i="2"/>
  <c r="AL13" i="2"/>
  <c r="AN10" i="2"/>
  <c r="AE24" i="2"/>
  <c r="AV26" i="2"/>
  <c r="AV78" i="2" s="1"/>
  <c r="Y33" i="2"/>
  <c r="Y35" i="2" s="1"/>
  <c r="L41" i="2"/>
  <c r="AJ87" i="2"/>
  <c r="AJ89" i="2" s="1"/>
  <c r="F89" i="2"/>
  <c r="N89" i="2"/>
  <c r="V89" i="2"/>
  <c r="AF47" i="2"/>
  <c r="AF37" i="2"/>
  <c r="AH33" i="2"/>
  <c r="AH43" i="2"/>
  <c r="AO35" i="2"/>
  <c r="AO46" i="2"/>
  <c r="AP33" i="2"/>
  <c r="AP43" i="2"/>
  <c r="AG35" i="2"/>
  <c r="AG46" i="2"/>
  <c r="AH45" i="2"/>
  <c r="AQ10" i="2"/>
  <c r="AK12" i="2"/>
  <c r="AS12" i="2"/>
  <c r="AM13" i="2"/>
  <c r="AU13" i="2"/>
  <c r="AD19" i="2"/>
  <c r="AL19" i="2"/>
  <c r="AT19" i="2"/>
  <c r="AB23" i="2"/>
  <c r="AJ23" i="2"/>
  <c r="AR23" i="2"/>
  <c r="AD24" i="2"/>
  <c r="AL24" i="2"/>
  <c r="AT24" i="2"/>
  <c r="AD78" i="2"/>
  <c r="AD79" i="2"/>
  <c r="AU26" i="2"/>
  <c r="J35" i="2"/>
  <c r="J47" i="2" s="1"/>
  <c r="J46" i="2"/>
  <c r="R35" i="2"/>
  <c r="R47" i="2" s="1"/>
  <c r="R46" i="2"/>
  <c r="Z44" i="2"/>
  <c r="AD45" i="2"/>
  <c r="E33" i="2"/>
  <c r="X33" i="2"/>
  <c r="G35" i="2"/>
  <c r="G47" i="2" s="1"/>
  <c r="AF46" i="2"/>
  <c r="AS10" i="2"/>
  <c r="AM12" i="2"/>
  <c r="AU12" i="2"/>
  <c r="AO13" i="2"/>
  <c r="Z17" i="2"/>
  <c r="AH17" i="2"/>
  <c r="AH21" i="2" s="1"/>
  <c r="AP17" i="2"/>
  <c r="AP21" i="2" s="1"/>
  <c r="AB21" i="2"/>
  <c r="AJ21" i="2"/>
  <c r="AR21" i="2"/>
  <c r="AD23" i="2"/>
  <c r="AL23" i="2"/>
  <c r="AT23" i="2"/>
  <c r="X24" i="2"/>
  <c r="AF24" i="2"/>
  <c r="AN24" i="2"/>
  <c r="AV24" i="2"/>
  <c r="AL78" i="2"/>
  <c r="AL79" i="2"/>
  <c r="D33" i="2"/>
  <c r="D43" i="2"/>
  <c r="L33" i="2"/>
  <c r="L43" i="2"/>
  <c r="AB33" i="2"/>
  <c r="AB43" i="2"/>
  <c r="AJ33" i="2"/>
  <c r="AJ43" i="2"/>
  <c r="AH44" i="2"/>
  <c r="AL45" i="2"/>
  <c r="H33" i="2"/>
  <c r="AI33" i="2"/>
  <c r="AI43" i="2"/>
  <c r="AT9" i="2"/>
  <c r="AT10" i="2"/>
  <c r="AN12" i="2"/>
  <c r="AV12" i="2"/>
  <c r="S17" i="2"/>
  <c r="S24" i="2" s="1"/>
  <c r="W20" i="2"/>
  <c r="AC21" i="2"/>
  <c r="AK21" i="2"/>
  <c r="AS21" i="2"/>
  <c r="W23" i="2"/>
  <c r="AE23" i="2"/>
  <c r="AM23" i="2"/>
  <c r="AU23" i="2"/>
  <c r="Y24" i="2"/>
  <c r="AG24" i="2"/>
  <c r="AO24" i="2"/>
  <c r="AP78" i="2"/>
  <c r="AP79" i="2"/>
  <c r="M33" i="2"/>
  <c r="M43" i="2"/>
  <c r="AC33" i="2"/>
  <c r="AC43" i="2"/>
  <c r="AK33" i="2"/>
  <c r="AK43" i="2"/>
  <c r="AP45" i="2"/>
  <c r="I33" i="2"/>
  <c r="I41" i="2"/>
  <c r="I84" i="2"/>
  <c r="Q41" i="2"/>
  <c r="Q84" i="2"/>
  <c r="AO43" i="2"/>
  <c r="H89" i="2"/>
  <c r="P89" i="2"/>
  <c r="AO12" i="2"/>
  <c r="AI13" i="2"/>
  <c r="AQ13" i="2"/>
  <c r="V16" i="2"/>
  <c r="V17" i="2" s="1"/>
  <c r="V26" i="2" s="1"/>
  <c r="V44" i="2" s="1"/>
  <c r="Z19" i="2"/>
  <c r="AH19" i="2"/>
  <c r="AP19" i="2"/>
  <c r="X20" i="2"/>
  <c r="X23" i="2"/>
  <c r="AF23" i="2"/>
  <c r="AN23" i="2"/>
  <c r="AV23" i="2"/>
  <c r="AQ26" i="2"/>
  <c r="F43" i="2"/>
  <c r="F33" i="2"/>
  <c r="N43" i="2"/>
  <c r="N33" i="2"/>
  <c r="AD28" i="2"/>
  <c r="AL28" i="2"/>
  <c r="AP44" i="2"/>
  <c r="K33" i="2"/>
  <c r="AN33" i="2"/>
  <c r="J84" i="2"/>
  <c r="J41" i="2"/>
  <c r="R84" i="2"/>
  <c r="R41" i="2"/>
  <c r="J43" i="2"/>
  <c r="AQ87" i="2"/>
  <c r="AQ89" i="2" s="1"/>
  <c r="AT85" i="2"/>
  <c r="AT87" i="2" s="1"/>
  <c r="AT89" i="2" s="1"/>
  <c r="AR85" i="2"/>
  <c r="AR87" i="2" s="1"/>
  <c r="AR89" i="2" s="1"/>
  <c r="AV89" i="2"/>
  <c r="AP6" i="2"/>
  <c r="AP12" i="2"/>
  <c r="AJ13" i="2"/>
  <c r="AR13" i="2"/>
  <c r="U17" i="2"/>
  <c r="U24" i="2" s="1"/>
  <c r="Y20" i="2"/>
  <c r="Y23" i="2"/>
  <c r="AG23" i="2"/>
  <c r="AO23" i="2"/>
  <c r="AA24" i="2"/>
  <c r="AI24" i="2"/>
  <c r="AQ24" i="2"/>
  <c r="AR26" i="2"/>
  <c r="W43" i="2"/>
  <c r="W33" i="2"/>
  <c r="AE43" i="2"/>
  <c r="AE33" i="2"/>
  <c r="AM43" i="2"/>
  <c r="AM33" i="2"/>
  <c r="O33" i="2"/>
  <c r="Q43" i="2"/>
  <c r="Q46" i="2"/>
  <c r="AH78" i="2"/>
  <c r="AH79" i="2"/>
  <c r="U47" i="2"/>
  <c r="U37" i="2"/>
  <c r="AS26" i="2"/>
  <c r="P33" i="2"/>
  <c r="R43" i="2"/>
  <c r="AA33" i="2"/>
  <c r="AA43" i="2"/>
  <c r="Y47" i="2"/>
  <c r="Y37" i="2"/>
  <c r="Z78" i="2"/>
  <c r="Z79" i="2"/>
  <c r="Z45" i="2"/>
  <c r="C33" i="2"/>
  <c r="Y46" i="2"/>
  <c r="AF89" i="2"/>
  <c r="G84" i="2"/>
  <c r="O84" i="2"/>
  <c r="AP85" i="2"/>
  <c r="AP87" i="2" s="1"/>
  <c r="AP89" i="2" s="1"/>
  <c r="E41" i="2"/>
  <c r="M41" i="2"/>
  <c r="Y85" i="2"/>
  <c r="Y87" i="2" s="1"/>
  <c r="Y89" i="2" s="1"/>
  <c r="AG86" i="2"/>
  <c r="AH86" i="2" s="1"/>
  <c r="X87" i="2"/>
  <c r="X89" i="2" s="1"/>
  <c r="F41" i="2"/>
  <c r="N41" i="2"/>
  <c r="AK85" i="2"/>
  <c r="AC85" i="2"/>
  <c r="AC87" i="2" s="1"/>
  <c r="AC89" i="2" s="1"/>
  <c r="AK86" i="2"/>
  <c r="AL86" i="2" s="1"/>
  <c r="AD85" i="2"/>
  <c r="AD87" i="2" s="1"/>
  <c r="AD89" i="2" s="1"/>
  <c r="AV26" i="20"/>
  <c r="AV24" i="20"/>
  <c r="AU26" i="20"/>
  <c r="AU24" i="20"/>
  <c r="AT6" i="20"/>
  <c r="AT17" i="20"/>
  <c r="BR6" i="20" l="1"/>
  <c r="AV28" i="2"/>
  <c r="AV33" i="2" s="1"/>
  <c r="T23" i="2"/>
  <c r="T45" i="2"/>
  <c r="AV79" i="2"/>
  <c r="T24" i="2"/>
  <c r="AP10" i="2"/>
  <c r="AQ13" i="18"/>
  <c r="V24" i="18"/>
  <c r="AE85" i="18"/>
  <c r="AE87" i="18" s="1"/>
  <c r="AE89" i="18" s="1"/>
  <c r="AQ86" i="18"/>
  <c r="AQ87" i="18" s="1"/>
  <c r="AQ89" i="18" s="1"/>
  <c r="V47" i="18"/>
  <c r="V37" i="18"/>
  <c r="AA85" i="18"/>
  <c r="AA87" i="18" s="1"/>
  <c r="AA89" i="18" s="1"/>
  <c r="F46" i="18"/>
  <c r="F35" i="18"/>
  <c r="F47" i="18" s="1"/>
  <c r="AS43" i="18"/>
  <c r="AS33" i="18"/>
  <c r="Y47" i="18"/>
  <c r="Y37" i="18"/>
  <c r="X35" i="18"/>
  <c r="X46" i="18"/>
  <c r="AE23" i="18"/>
  <c r="AM85" i="18"/>
  <c r="AM87" i="18" s="1"/>
  <c r="AM89" i="18" s="1"/>
  <c r="AD46" i="18"/>
  <c r="AD35" i="18"/>
  <c r="H35" i="18"/>
  <c r="H47" i="18" s="1"/>
  <c r="H46" i="18"/>
  <c r="M46" i="18"/>
  <c r="M35" i="18"/>
  <c r="M47" i="18" s="1"/>
  <c r="AP37" i="18"/>
  <c r="AP47" i="18"/>
  <c r="AF35" i="18"/>
  <c r="AF46" i="18"/>
  <c r="AI46" i="18"/>
  <c r="AI35" i="18"/>
  <c r="AW78" i="18"/>
  <c r="AW79" i="18"/>
  <c r="AW28" i="18"/>
  <c r="AW33" i="18" s="1"/>
  <c r="AU10" i="18"/>
  <c r="AU12" i="18"/>
  <c r="AA33" i="18"/>
  <c r="AA43" i="18"/>
  <c r="V79" i="18"/>
  <c r="V46" i="18"/>
  <c r="V28" i="18"/>
  <c r="V43" i="18" s="1"/>
  <c r="V45" i="18"/>
  <c r="V44" i="18"/>
  <c r="V78" i="18"/>
  <c r="AU13" i="18"/>
  <c r="AR78" i="18"/>
  <c r="AR44" i="18"/>
  <c r="AR79" i="18"/>
  <c r="AR45" i="18"/>
  <c r="AR28" i="18"/>
  <c r="AU26" i="18"/>
  <c r="AM21" i="18"/>
  <c r="AI24" i="18"/>
  <c r="AQ46" i="18"/>
  <c r="AQ35" i="18"/>
  <c r="E46" i="18"/>
  <c r="E35" i="18"/>
  <c r="E47" i="18" s="1"/>
  <c r="AN35" i="18"/>
  <c r="AN46" i="18"/>
  <c r="AV79" i="18"/>
  <c r="AV28" i="18"/>
  <c r="AV33" i="18" s="1"/>
  <c r="AV78" i="18"/>
  <c r="AH37" i="18"/>
  <c r="AH47" i="18"/>
  <c r="S46" i="18"/>
  <c r="S35" i="18"/>
  <c r="S47" i="18" s="1"/>
  <c r="U44" i="18"/>
  <c r="U79" i="18"/>
  <c r="U45" i="18"/>
  <c r="U28" i="18"/>
  <c r="U78" i="18"/>
  <c r="AQ21" i="18"/>
  <c r="AM23" i="18"/>
  <c r="AU87" i="18"/>
  <c r="AU89" i="18" s="1"/>
  <c r="AM43" i="18"/>
  <c r="AM33" i="18"/>
  <c r="W17" i="18"/>
  <c r="AK46" i="18"/>
  <c r="AK35" i="18"/>
  <c r="T26" i="18"/>
  <c r="T24" i="18"/>
  <c r="X21" i="18"/>
  <c r="T23" i="18"/>
  <c r="AI21" i="18"/>
  <c r="AM24" i="18"/>
  <c r="Z37" i="18"/>
  <c r="Z47" i="18"/>
  <c r="AS87" i="18"/>
  <c r="AS89" i="18" s="1"/>
  <c r="AE43" i="18"/>
  <c r="AE33" i="18"/>
  <c r="P35" i="18"/>
  <c r="P47" i="18" s="1"/>
  <c r="P46" i="18"/>
  <c r="AJ37" i="18"/>
  <c r="AJ47" i="18"/>
  <c r="AB37" i="18"/>
  <c r="AB47" i="18"/>
  <c r="AL46" i="18"/>
  <c r="AL35" i="18"/>
  <c r="AG39" i="18"/>
  <c r="AG48" i="18"/>
  <c r="AT79" i="18"/>
  <c r="AT28" i="18"/>
  <c r="AT33" i="18" s="1"/>
  <c r="AT78" i="18"/>
  <c r="G46" i="18"/>
  <c r="G35" i="18"/>
  <c r="G47" i="18" s="1"/>
  <c r="N46" i="18"/>
  <c r="N35" i="18"/>
  <c r="N47" i="18" s="1"/>
  <c r="AO39" i="18"/>
  <c r="AO48" i="18"/>
  <c r="AC46" i="18"/>
  <c r="AC35" i="18"/>
  <c r="AE24" i="18"/>
  <c r="O46" i="18"/>
  <c r="O35" i="18"/>
  <c r="O47" i="18" s="1"/>
  <c r="BR26" i="20"/>
  <c r="T28" i="2"/>
  <c r="T33" i="2" s="1"/>
  <c r="T78" i="2"/>
  <c r="Z43" i="2"/>
  <c r="T79" i="2"/>
  <c r="AG87" i="2"/>
  <c r="AG89" i="2" s="1"/>
  <c r="X21" i="2"/>
  <c r="H46" i="2"/>
  <c r="H35" i="2"/>
  <c r="H47" i="2" s="1"/>
  <c r="AP23" i="2"/>
  <c r="U39" i="2"/>
  <c r="AQ78" i="2"/>
  <c r="AQ44" i="2"/>
  <c r="AQ79" i="2"/>
  <c r="AT26" i="2"/>
  <c r="AQ28" i="2"/>
  <c r="AQ45" i="2"/>
  <c r="AL21" i="2"/>
  <c r="O46" i="2"/>
  <c r="O35" i="2"/>
  <c r="O47" i="2" s="1"/>
  <c r="AA35" i="2"/>
  <c r="AA46" i="2"/>
  <c r="AM46" i="2"/>
  <c r="AM35" i="2"/>
  <c r="AP24" i="2"/>
  <c r="D35" i="2"/>
  <c r="D47" i="2" s="1"/>
  <c r="D46" i="2"/>
  <c r="Z21" i="2"/>
  <c r="AP35" i="2"/>
  <c r="AP46" i="2"/>
  <c r="Z35" i="2"/>
  <c r="Z46" i="2"/>
  <c r="V78" i="2"/>
  <c r="V79" i="2"/>
  <c r="V28" i="2"/>
  <c r="C35" i="2"/>
  <c r="C47" i="2" s="1"/>
  <c r="C46" i="2"/>
  <c r="AL33" i="2"/>
  <c r="AL43" i="2"/>
  <c r="AH24" i="2"/>
  <c r="AK35" i="2"/>
  <c r="AK46" i="2"/>
  <c r="AG47" i="2"/>
  <c r="AG37" i="2"/>
  <c r="AO47" i="2"/>
  <c r="AO37" i="2"/>
  <c r="AH23" i="2"/>
  <c r="AS79" i="2"/>
  <c r="AS78" i="2"/>
  <c r="AS28" i="2"/>
  <c r="AS33" i="2" s="1"/>
  <c r="AE46" i="2"/>
  <c r="AE35" i="2"/>
  <c r="AD33" i="2"/>
  <c r="AD43" i="2"/>
  <c r="Z24" i="2"/>
  <c r="AJ35" i="2"/>
  <c r="AJ46" i="2"/>
  <c r="V23" i="2"/>
  <c r="X46" i="2"/>
  <c r="X35" i="2"/>
  <c r="AU78" i="2"/>
  <c r="AU79" i="2"/>
  <c r="AU28" i="2"/>
  <c r="AU33" i="2" s="1"/>
  <c r="W21" i="2"/>
  <c r="T43" i="2"/>
  <c r="AF39" i="2"/>
  <c r="AF48" i="2"/>
  <c r="K35" i="2"/>
  <c r="K47" i="2" s="1"/>
  <c r="K46" i="2"/>
  <c r="I35" i="2"/>
  <c r="I47" i="2" s="1"/>
  <c r="I46" i="2"/>
  <c r="L35" i="2"/>
  <c r="L47" i="2" s="1"/>
  <c r="L46" i="2"/>
  <c r="P46" i="2"/>
  <c r="P35" i="2"/>
  <c r="P47" i="2" s="1"/>
  <c r="Z85" i="2"/>
  <c r="Z87" i="2" s="1"/>
  <c r="Z89" i="2" s="1"/>
  <c r="N46" i="2"/>
  <c r="N35" i="2"/>
  <c r="N47" i="2" s="1"/>
  <c r="V24" i="2"/>
  <c r="AC35" i="2"/>
  <c r="AC46" i="2"/>
  <c r="S23" i="2"/>
  <c r="S26" i="2"/>
  <c r="AI35" i="2"/>
  <c r="AI46" i="2"/>
  <c r="E35" i="2"/>
  <c r="E47" i="2" s="1"/>
  <c r="E46" i="2"/>
  <c r="AT21" i="2"/>
  <c r="AR44" i="2"/>
  <c r="AR79" i="2"/>
  <c r="AR78" i="2"/>
  <c r="AR45" i="2"/>
  <c r="AR28" i="2"/>
  <c r="AL85" i="2"/>
  <c r="AL87" i="2" s="1"/>
  <c r="AL89" i="2" s="1"/>
  <c r="AK87" i="2"/>
  <c r="AK89" i="2" s="1"/>
  <c r="V45" i="2"/>
  <c r="W46" i="2"/>
  <c r="W35" i="2"/>
  <c r="AP13" i="2"/>
  <c r="AB35" i="2"/>
  <c r="AB46" i="2"/>
  <c r="Z23" i="2"/>
  <c r="Z20" i="2"/>
  <c r="U26" i="2"/>
  <c r="U23" i="2"/>
  <c r="Y48" i="2"/>
  <c r="Y39" i="2"/>
  <c r="AV46" i="2"/>
  <c r="AV35" i="2"/>
  <c r="AV37" i="2" s="1"/>
  <c r="AV39" i="2" s="1"/>
  <c r="AN35" i="2"/>
  <c r="AN46" i="2"/>
  <c r="F46" i="2"/>
  <c r="F35" i="2"/>
  <c r="F47" i="2" s="1"/>
  <c r="M35" i="2"/>
  <c r="M47" i="2" s="1"/>
  <c r="M46" i="2"/>
  <c r="AH87" i="2"/>
  <c r="AH89" i="2" s="1"/>
  <c r="Y21" i="2"/>
  <c r="AH35" i="2"/>
  <c r="AH46" i="2"/>
  <c r="AD21" i="2"/>
  <c r="AV78" i="20"/>
  <c r="AT23" i="20"/>
  <c r="AT12" i="20"/>
  <c r="AT13" i="20"/>
  <c r="AT24" i="20"/>
  <c r="V39" i="18" l="1"/>
  <c r="V48" i="18"/>
  <c r="AV35" i="18"/>
  <c r="AV37" i="18" s="1"/>
  <c r="AV39" i="18" s="1"/>
  <c r="AV46" i="18"/>
  <c r="AA35" i="18"/>
  <c r="AA46" i="18"/>
  <c r="AG81" i="18"/>
  <c r="AG41" i="18"/>
  <c r="AG84" i="18"/>
  <c r="AG82" i="18"/>
  <c r="X47" i="18"/>
  <c r="X37" i="18"/>
  <c r="AL47" i="18"/>
  <c r="AL37" i="18"/>
  <c r="AE46" i="18"/>
  <c r="AE35" i="18"/>
  <c r="AU78" i="18"/>
  <c r="AU79" i="18"/>
  <c r="AU45" i="18"/>
  <c r="AU28" i="18"/>
  <c r="AU44" i="18"/>
  <c r="Y39" i="18"/>
  <c r="Y48" i="18"/>
  <c r="AN47" i="18"/>
  <c r="AN37" i="18"/>
  <c r="AR33" i="18"/>
  <c r="AR43" i="18"/>
  <c r="AW35" i="18"/>
  <c r="AW37" i="18" s="1"/>
  <c r="AW39" i="18" s="1"/>
  <c r="AW46" i="18"/>
  <c r="AP39" i="18"/>
  <c r="AP48" i="18"/>
  <c r="T78" i="18"/>
  <c r="T44" i="18"/>
  <c r="T79" i="18"/>
  <c r="T45" i="18"/>
  <c r="T28" i="18"/>
  <c r="AD47" i="18"/>
  <c r="AD37" i="18"/>
  <c r="AS46" i="18"/>
  <c r="AS35" i="18"/>
  <c r="AF47" i="18"/>
  <c r="AF37" i="18"/>
  <c r="AC37" i="18"/>
  <c r="AC47" i="18"/>
  <c r="AB39" i="18"/>
  <c r="AB48" i="18"/>
  <c r="AK37" i="18"/>
  <c r="AK47" i="18"/>
  <c r="AO81" i="18"/>
  <c r="AO41" i="18"/>
  <c r="AO84" i="18"/>
  <c r="AO82" i="18"/>
  <c r="AT46" i="18"/>
  <c r="AT35" i="18"/>
  <c r="AT37" i="18" s="1"/>
  <c r="AT39" i="18" s="1"/>
  <c r="Z39" i="18"/>
  <c r="Z48" i="18"/>
  <c r="AH39" i="18"/>
  <c r="AH48" i="18"/>
  <c r="AQ37" i="18"/>
  <c r="AQ47" i="18"/>
  <c r="AI37" i="18"/>
  <c r="AI47" i="18"/>
  <c r="W26" i="18"/>
  <c r="AA21" i="18"/>
  <c r="W23" i="18"/>
  <c r="AM46" i="18"/>
  <c r="AM35" i="18"/>
  <c r="AJ39" i="18"/>
  <c r="AJ48" i="18"/>
  <c r="W24" i="18"/>
  <c r="U43" i="18"/>
  <c r="U33" i="18"/>
  <c r="BR30" i="20"/>
  <c r="BR29" i="20"/>
  <c r="BR27" i="20"/>
  <c r="BR28" i="20" s="1"/>
  <c r="AF41" i="2"/>
  <c r="AF81" i="2"/>
  <c r="AF82" i="2"/>
  <c r="AF84" i="2"/>
  <c r="X47" i="2"/>
  <c r="X37" i="2"/>
  <c r="AE47" i="2"/>
  <c r="AE37" i="2"/>
  <c r="AP47" i="2"/>
  <c r="AP37" i="2"/>
  <c r="AA37" i="2"/>
  <c r="AA47" i="2"/>
  <c r="U79" i="2"/>
  <c r="U46" i="2"/>
  <c r="U45" i="2"/>
  <c r="U44" i="2"/>
  <c r="U28" i="2"/>
  <c r="U43" i="2" s="1"/>
  <c r="U78" i="2"/>
  <c r="AG48" i="2"/>
  <c r="AG39" i="2"/>
  <c r="AC47" i="2"/>
  <c r="AC37" i="2"/>
  <c r="T35" i="2"/>
  <c r="T46" i="2"/>
  <c r="AS35" i="2"/>
  <c r="AS37" i="2" s="1"/>
  <c r="AS39" i="2" s="1"/>
  <c r="AS46" i="2"/>
  <c r="V33" i="2"/>
  <c r="V43" i="2"/>
  <c r="AH37" i="2"/>
  <c r="AH47" i="2"/>
  <c r="AN47" i="2"/>
  <c r="AN37" i="2"/>
  <c r="U84" i="2"/>
  <c r="U41" i="2"/>
  <c r="U81" i="2"/>
  <c r="U82" i="2"/>
  <c r="AV41" i="2"/>
  <c r="AV81" i="2"/>
  <c r="AV82" i="2"/>
  <c r="AV48" i="2"/>
  <c r="AV84" i="2"/>
  <c r="AR33" i="2"/>
  <c r="AR43" i="2"/>
  <c r="AU46" i="2"/>
  <c r="AU35" i="2"/>
  <c r="AU37" i="2" s="1"/>
  <c r="AU39" i="2" s="1"/>
  <c r="AJ47" i="2"/>
  <c r="AJ37" i="2"/>
  <c r="AK47" i="2"/>
  <c r="AK37" i="2"/>
  <c r="U48" i="2"/>
  <c r="AB47" i="2"/>
  <c r="AB37" i="2"/>
  <c r="AM47" i="2"/>
  <c r="AM37" i="2"/>
  <c r="AQ33" i="2"/>
  <c r="AQ43" i="2"/>
  <c r="Y41" i="2"/>
  <c r="Y81" i="2"/>
  <c r="Y82" i="2"/>
  <c r="Y84" i="2"/>
  <c r="AI37" i="2"/>
  <c r="AI47" i="2"/>
  <c r="Z37" i="2"/>
  <c r="Z47" i="2"/>
  <c r="AT78" i="2"/>
  <c r="AT79" i="2"/>
  <c r="AT28" i="2"/>
  <c r="AT45" i="2"/>
  <c r="AT44" i="2"/>
  <c r="W47" i="2"/>
  <c r="W37" i="2"/>
  <c r="S78" i="2"/>
  <c r="S44" i="2"/>
  <c r="S79" i="2"/>
  <c r="S45" i="2"/>
  <c r="S28" i="2"/>
  <c r="AD46" i="2"/>
  <c r="AD35" i="2"/>
  <c r="AO48" i="2"/>
  <c r="AO39" i="2"/>
  <c r="AL46" i="2"/>
  <c r="AL35" i="2"/>
  <c r="BR33" i="20" l="1"/>
  <c r="BR35" i="20" s="1"/>
  <c r="BR36" i="20" s="1"/>
  <c r="BR37" i="20" s="1"/>
  <c r="V84" i="18"/>
  <c r="V81" i="18"/>
  <c r="V82" i="18"/>
  <c r="V41" i="18"/>
  <c r="AF39" i="18"/>
  <c r="AF48" i="18"/>
  <c r="AR46" i="18"/>
  <c r="AR35" i="18"/>
  <c r="W78" i="18"/>
  <c r="W79" i="18"/>
  <c r="W44" i="18"/>
  <c r="W28" i="18"/>
  <c r="W45" i="18"/>
  <c r="Z81" i="18"/>
  <c r="Z82" i="18"/>
  <c r="Z84" i="18"/>
  <c r="Z41" i="18"/>
  <c r="AK48" i="18"/>
  <c r="AK39" i="18"/>
  <c r="AH81" i="18"/>
  <c r="AH82" i="18"/>
  <c r="AH84" i="18"/>
  <c r="AH41" i="18"/>
  <c r="AE37" i="18"/>
  <c r="AE47" i="18"/>
  <c r="AT48" i="18"/>
  <c r="AT41" i="18"/>
  <c r="AT84" i="18"/>
  <c r="AT81" i="18"/>
  <c r="AT82" i="18"/>
  <c r="AD48" i="18"/>
  <c r="AD39" i="18"/>
  <c r="AP81" i="18"/>
  <c r="AP82" i="18"/>
  <c r="AP84" i="18"/>
  <c r="AP41" i="18"/>
  <c r="Y81" i="18"/>
  <c r="Y41" i="18"/>
  <c r="Y82" i="18"/>
  <c r="Y84" i="18"/>
  <c r="AL48" i="18"/>
  <c r="AL39" i="18"/>
  <c r="AI39" i="18"/>
  <c r="AI48" i="18"/>
  <c r="AB82" i="18"/>
  <c r="AB41" i="18"/>
  <c r="AB84" i="18"/>
  <c r="AB81" i="18"/>
  <c r="AA37" i="18"/>
  <c r="AA47" i="18"/>
  <c r="AN39" i="18"/>
  <c r="AN48" i="18"/>
  <c r="U46" i="18"/>
  <c r="U35" i="18"/>
  <c r="AS37" i="18"/>
  <c r="AS47" i="18"/>
  <c r="AJ82" i="18"/>
  <c r="AJ41" i="18"/>
  <c r="AJ84" i="18"/>
  <c r="AJ81" i="18"/>
  <c r="T43" i="18"/>
  <c r="T33" i="18"/>
  <c r="AW81" i="18"/>
  <c r="AW48" i="18"/>
  <c r="AW41" i="18"/>
  <c r="AW84" i="18"/>
  <c r="AW82" i="18"/>
  <c r="AU43" i="18"/>
  <c r="AU33" i="18"/>
  <c r="X39" i="18"/>
  <c r="X48" i="18"/>
  <c r="AM37" i="18"/>
  <c r="AM47" i="18"/>
  <c r="AQ39" i="18"/>
  <c r="AQ48" i="18"/>
  <c r="AC48" i="18"/>
  <c r="AC39" i="18"/>
  <c r="AV81" i="18"/>
  <c r="AV82" i="18"/>
  <c r="AV48" i="18"/>
  <c r="AV84" i="18"/>
  <c r="AV41" i="18"/>
  <c r="AD37" i="2"/>
  <c r="AD47" i="2"/>
  <c r="Z48" i="2"/>
  <c r="Z39" i="2"/>
  <c r="AQ35" i="2"/>
  <c r="AQ46" i="2"/>
  <c r="AJ48" i="2"/>
  <c r="AJ39" i="2"/>
  <c r="AN39" i="2"/>
  <c r="AN48" i="2"/>
  <c r="AE39" i="2"/>
  <c r="AE48" i="2"/>
  <c r="AM39" i="2"/>
  <c r="AM48" i="2"/>
  <c r="T47" i="2"/>
  <c r="T37" i="2"/>
  <c r="S43" i="2"/>
  <c r="S33" i="2"/>
  <c r="AI48" i="2"/>
  <c r="AI39" i="2"/>
  <c r="AU41" i="2"/>
  <c r="AU81" i="2"/>
  <c r="AU82" i="2"/>
  <c r="AU84" i="2"/>
  <c r="AU48" i="2"/>
  <c r="AC48" i="2"/>
  <c r="AC39" i="2"/>
  <c r="X39" i="2"/>
  <c r="X48" i="2"/>
  <c r="AB48" i="2"/>
  <c r="AB39" i="2"/>
  <c r="AH48" i="2"/>
  <c r="AH39" i="2"/>
  <c r="AL37" i="2"/>
  <c r="AL47" i="2"/>
  <c r="AT33" i="2"/>
  <c r="AT43" i="2"/>
  <c r="AG41" i="2"/>
  <c r="AG81" i="2"/>
  <c r="AG82" i="2"/>
  <c r="AG84" i="2"/>
  <c r="AR35" i="2"/>
  <c r="AR46" i="2"/>
  <c r="V46" i="2"/>
  <c r="V35" i="2"/>
  <c r="AA48" i="2"/>
  <c r="AA39" i="2"/>
  <c r="AO41" i="2"/>
  <c r="AO81" i="2"/>
  <c r="AO82" i="2"/>
  <c r="AO84" i="2"/>
  <c r="AK48" i="2"/>
  <c r="AK39" i="2"/>
  <c r="AP48" i="2"/>
  <c r="AP39" i="2"/>
  <c r="W39" i="2"/>
  <c r="W48" i="2"/>
  <c r="AS48" i="2"/>
  <c r="AS84" i="2"/>
  <c r="AS41" i="2"/>
  <c r="AS81" i="2"/>
  <c r="AS82" i="2"/>
  <c r="AQ81" i="18" l="1"/>
  <c r="AQ82" i="18"/>
  <c r="AQ41" i="18"/>
  <c r="AQ84" i="18"/>
  <c r="AL41" i="18"/>
  <c r="AL84" i="18"/>
  <c r="AL81" i="18"/>
  <c r="AL82" i="18"/>
  <c r="AK82" i="18"/>
  <c r="AK41" i="18"/>
  <c r="AK84" i="18"/>
  <c r="AK81" i="18"/>
  <c r="AA39" i="18"/>
  <c r="AA48" i="18"/>
  <c r="AM39" i="18"/>
  <c r="AM48" i="18"/>
  <c r="AD41" i="18"/>
  <c r="AD84" i="18"/>
  <c r="AD81" i="18"/>
  <c r="AD82" i="18"/>
  <c r="AE39" i="18"/>
  <c r="AE48" i="18"/>
  <c r="AR37" i="18"/>
  <c r="AR47" i="18"/>
  <c r="AI81" i="18"/>
  <c r="AI82" i="18"/>
  <c r="AI41" i="18"/>
  <c r="AI84" i="18"/>
  <c r="AS48" i="18"/>
  <c r="AS39" i="18"/>
  <c r="W43" i="18"/>
  <c r="W33" i="18"/>
  <c r="X81" i="18"/>
  <c r="X82" i="18"/>
  <c r="X84" i="18"/>
  <c r="X41" i="18"/>
  <c r="T46" i="18"/>
  <c r="T35" i="18"/>
  <c r="U37" i="18"/>
  <c r="U47" i="18"/>
  <c r="AN81" i="18"/>
  <c r="AN82" i="18"/>
  <c r="AN84" i="18"/>
  <c r="AN41" i="18"/>
  <c r="AC82" i="18"/>
  <c r="AC41" i="18"/>
  <c r="AC84" i="18"/>
  <c r="AC81" i="18"/>
  <c r="AU46" i="18"/>
  <c r="AU35" i="18"/>
  <c r="AF81" i="18"/>
  <c r="AF82" i="18"/>
  <c r="AF84" i="18"/>
  <c r="AF41" i="18"/>
  <c r="AP81" i="2"/>
  <c r="AP82" i="2"/>
  <c r="AP84" i="2"/>
  <c r="AP41" i="2"/>
  <c r="AA82" i="2"/>
  <c r="AA84" i="2"/>
  <c r="AA81" i="2"/>
  <c r="AA41" i="2"/>
  <c r="AB82" i="2"/>
  <c r="AB84" i="2"/>
  <c r="AB41" i="2"/>
  <c r="AB81" i="2"/>
  <c r="T48" i="2"/>
  <c r="T39" i="2"/>
  <c r="AJ82" i="2"/>
  <c r="AJ84" i="2"/>
  <c r="AJ81" i="2"/>
  <c r="AJ41" i="2"/>
  <c r="AK84" i="2"/>
  <c r="AK41" i="2"/>
  <c r="AK81" i="2"/>
  <c r="AK82" i="2"/>
  <c r="V37" i="2"/>
  <c r="V47" i="2"/>
  <c r="AT46" i="2"/>
  <c r="AT35" i="2"/>
  <c r="X41" i="2"/>
  <c r="X81" i="2"/>
  <c r="X82" i="2"/>
  <c r="X84" i="2"/>
  <c r="AM41" i="2"/>
  <c r="AM81" i="2"/>
  <c r="AM82" i="2"/>
  <c r="AM84" i="2"/>
  <c r="AQ47" i="2"/>
  <c r="AQ37" i="2"/>
  <c r="AC84" i="2"/>
  <c r="AC41" i="2"/>
  <c r="AC81" i="2"/>
  <c r="AC82" i="2"/>
  <c r="AI82" i="2"/>
  <c r="AI84" i="2"/>
  <c r="AI81" i="2"/>
  <c r="AI41" i="2"/>
  <c r="Z81" i="2"/>
  <c r="Z82" i="2"/>
  <c r="Z84" i="2"/>
  <c r="Z41" i="2"/>
  <c r="AR47" i="2"/>
  <c r="AR37" i="2"/>
  <c r="AL39" i="2"/>
  <c r="AL48" i="2"/>
  <c r="AE41" i="2"/>
  <c r="AE81" i="2"/>
  <c r="AE82" i="2"/>
  <c r="AE84" i="2"/>
  <c r="AH81" i="2"/>
  <c r="AH82" i="2"/>
  <c r="AH84" i="2"/>
  <c r="AH41" i="2"/>
  <c r="S35" i="2"/>
  <c r="S46" i="2"/>
  <c r="W41" i="2"/>
  <c r="W81" i="2"/>
  <c r="W82" i="2"/>
  <c r="W84" i="2"/>
  <c r="AN41" i="2"/>
  <c r="AN81" i="2"/>
  <c r="AN82" i="2"/>
  <c r="AN84" i="2"/>
  <c r="AD39" i="2"/>
  <c r="AD48" i="2"/>
  <c r="T37" i="18" l="1"/>
  <c r="T47" i="18"/>
  <c r="AS82" i="18"/>
  <c r="AS41" i="18"/>
  <c r="AS84" i="18"/>
  <c r="AS81" i="18"/>
  <c r="AR39" i="18"/>
  <c r="AR48" i="18"/>
  <c r="AE84" i="18"/>
  <c r="AE81" i="18"/>
  <c r="AE41" i="18"/>
  <c r="AE82" i="18"/>
  <c r="AA81" i="18"/>
  <c r="AA82" i="18"/>
  <c r="AA41" i="18"/>
  <c r="AA84" i="18"/>
  <c r="U48" i="18"/>
  <c r="U39" i="18"/>
  <c r="W46" i="18"/>
  <c r="W35" i="18"/>
  <c r="AU37" i="18"/>
  <c r="AU47" i="18"/>
  <c r="AM84" i="18"/>
  <c r="AM82" i="18"/>
  <c r="AM41" i="18"/>
  <c r="AM81" i="18"/>
  <c r="T82" i="2"/>
  <c r="T84" i="2"/>
  <c r="T81" i="2"/>
  <c r="T41" i="2"/>
  <c r="S47" i="2"/>
  <c r="S37" i="2"/>
  <c r="AQ48" i="2"/>
  <c r="AQ39" i="2"/>
  <c r="V39" i="2"/>
  <c r="V48" i="2"/>
  <c r="AL84" i="2"/>
  <c r="AL41" i="2"/>
  <c r="AL81" i="2"/>
  <c r="AL82" i="2"/>
  <c r="AD84" i="2"/>
  <c r="AD41" i="2"/>
  <c r="AD81" i="2"/>
  <c r="AD82" i="2"/>
  <c r="AR48" i="2"/>
  <c r="AR39" i="2"/>
  <c r="AT37" i="2"/>
  <c r="AT47" i="2"/>
  <c r="AR82" i="18" l="1"/>
  <c r="AR41" i="18"/>
  <c r="AR84" i="18"/>
  <c r="AR81" i="18"/>
  <c r="AU39" i="18"/>
  <c r="AU48" i="18"/>
  <c r="U82" i="18"/>
  <c r="U41" i="18"/>
  <c r="U84" i="18"/>
  <c r="U81" i="18"/>
  <c r="W37" i="18"/>
  <c r="W47" i="18"/>
  <c r="T39" i="18"/>
  <c r="T48" i="18"/>
  <c r="S48" i="2"/>
  <c r="S39" i="2"/>
  <c r="AQ82" i="2"/>
  <c r="AQ84" i="2"/>
  <c r="AQ81" i="2"/>
  <c r="AQ41" i="2"/>
  <c r="AT39" i="2"/>
  <c r="AT48" i="2"/>
  <c r="AR82" i="2"/>
  <c r="AR84" i="2"/>
  <c r="AR41" i="2"/>
  <c r="AR81" i="2"/>
  <c r="V84" i="2"/>
  <c r="V41" i="2"/>
  <c r="V81" i="2"/>
  <c r="V82" i="2"/>
  <c r="T82" i="18" l="1"/>
  <c r="T41" i="18"/>
  <c r="T84" i="18"/>
  <c r="T81" i="18"/>
  <c r="AU84" i="18"/>
  <c r="AU82" i="18"/>
  <c r="AU41" i="18"/>
  <c r="AU81" i="18"/>
  <c r="W39" i="18"/>
  <c r="W48" i="18"/>
  <c r="AT84" i="2"/>
  <c r="AT41" i="2"/>
  <c r="AT81" i="2"/>
  <c r="AT82" i="2"/>
  <c r="S82" i="2"/>
  <c r="S84" i="2"/>
  <c r="S81" i="2"/>
  <c r="S41" i="2"/>
  <c r="W84" i="18" l="1"/>
  <c r="W82" i="18"/>
  <c r="W41" i="18"/>
  <c r="W81" i="18"/>
  <c r="AW5" i="20" l="1"/>
  <c r="AW4" i="20"/>
  <c r="AU6" i="20"/>
  <c r="BL88" i="20"/>
  <c r="BK88" i="20"/>
  <c r="BJ88" i="20"/>
  <c r="BI88" i="20"/>
  <c r="BH88" i="20"/>
  <c r="BG88" i="20"/>
  <c r="AS88" i="20"/>
  <c r="AR88" i="20"/>
  <c r="AQ88" i="20"/>
  <c r="BQ88" i="20" s="1"/>
  <c r="AP88" i="20"/>
  <c r="BP88" i="20" s="1"/>
  <c r="AO88" i="20"/>
  <c r="AN88" i="20"/>
  <c r="AM88" i="20"/>
  <c r="AL88" i="20"/>
  <c r="BO88" i="20" s="1"/>
  <c r="AK88" i="20"/>
  <c r="AJ88" i="20"/>
  <c r="AI88" i="20"/>
  <c r="AH88" i="20"/>
  <c r="BN88" i="20" s="1"/>
  <c r="AG88" i="20"/>
  <c r="AF88" i="20"/>
  <c r="AE88" i="20"/>
  <c r="AD88" i="20"/>
  <c r="BM88" i="20" s="1"/>
  <c r="AC88" i="20"/>
  <c r="AB88" i="20"/>
  <c r="AA88" i="20"/>
  <c r="Z88" i="20"/>
  <c r="Y88" i="20"/>
  <c r="X88" i="20"/>
  <c r="W88" i="20"/>
  <c r="V88" i="20"/>
  <c r="U88" i="20"/>
  <c r="T88" i="20"/>
  <c r="S88" i="20"/>
  <c r="R88" i="20"/>
  <c r="Q88" i="20"/>
  <c r="P88" i="20"/>
  <c r="O88" i="20"/>
  <c r="N88" i="20"/>
  <c r="M88" i="20"/>
  <c r="L88" i="20"/>
  <c r="K88" i="20"/>
  <c r="J88" i="20"/>
  <c r="I88" i="20"/>
  <c r="H88" i="20"/>
  <c r="G88" i="20"/>
  <c r="F88" i="20"/>
  <c r="E88" i="20"/>
  <c r="D88" i="20"/>
  <c r="C88" i="20"/>
  <c r="BK87" i="20"/>
  <c r="BK89" i="20" s="1"/>
  <c r="AM87" i="20"/>
  <c r="AI87" i="20"/>
  <c r="AE87" i="20"/>
  <c r="AA87" i="20"/>
  <c r="W87" i="20"/>
  <c r="V87" i="20"/>
  <c r="U87" i="20"/>
  <c r="T87" i="20"/>
  <c r="S87" i="20"/>
  <c r="R87" i="20"/>
  <c r="Q87" i="20"/>
  <c r="P87" i="20"/>
  <c r="O87" i="20"/>
  <c r="N87" i="20"/>
  <c r="M87" i="20"/>
  <c r="L87" i="20"/>
  <c r="K87" i="20"/>
  <c r="J87" i="20"/>
  <c r="I87" i="20"/>
  <c r="H87" i="20"/>
  <c r="G87" i="20"/>
  <c r="F87" i="20"/>
  <c r="E87" i="20"/>
  <c r="D87" i="20"/>
  <c r="C87" i="20"/>
  <c r="BJ86" i="20"/>
  <c r="BI86" i="20"/>
  <c r="BH86" i="20"/>
  <c r="BG86" i="20"/>
  <c r="AQ86" i="20"/>
  <c r="AN86" i="20"/>
  <c r="AJ86" i="20"/>
  <c r="AF86" i="20"/>
  <c r="AG86" i="20" s="1"/>
  <c r="AB86" i="20"/>
  <c r="X86" i="20"/>
  <c r="Y86" i="20" s="1"/>
  <c r="Z86" i="20" s="1"/>
  <c r="BJ85" i="20"/>
  <c r="BI85" i="20"/>
  <c r="BH85" i="20"/>
  <c r="BG85" i="20"/>
  <c r="AQ85" i="20"/>
  <c r="AN85" i="20"/>
  <c r="AJ85" i="20"/>
  <c r="AF85" i="20"/>
  <c r="AB85" i="20"/>
  <c r="AC85" i="20" s="1"/>
  <c r="X85" i="20"/>
  <c r="AS80" i="20"/>
  <c r="AR80" i="20"/>
  <c r="AQ80" i="20"/>
  <c r="AO80" i="20"/>
  <c r="AN80" i="20"/>
  <c r="AM80" i="20"/>
  <c r="AK80" i="20"/>
  <c r="AJ80" i="20"/>
  <c r="AI80" i="20"/>
  <c r="AG80" i="20"/>
  <c r="AF80" i="20"/>
  <c r="AE80" i="20"/>
  <c r="AC80" i="20"/>
  <c r="AB80" i="20"/>
  <c r="AA80" i="20"/>
  <c r="Y80" i="20"/>
  <c r="X80" i="20"/>
  <c r="W80" i="20"/>
  <c r="U80" i="20"/>
  <c r="T80" i="20"/>
  <c r="AO78" i="20"/>
  <c r="AN78" i="20"/>
  <c r="AM78" i="20"/>
  <c r="AK78" i="20"/>
  <c r="AJ78" i="20"/>
  <c r="AI78" i="20"/>
  <c r="AG78" i="20"/>
  <c r="AF78" i="20"/>
  <c r="AE78" i="20"/>
  <c r="AC78" i="20"/>
  <c r="AB78" i="20"/>
  <c r="AA78" i="20"/>
  <c r="Y78" i="20"/>
  <c r="X78" i="20"/>
  <c r="W78" i="20"/>
  <c r="AS77" i="20"/>
  <c r="AR77" i="20"/>
  <c r="AQ77" i="20"/>
  <c r="AP77" i="20"/>
  <c r="AO77" i="20"/>
  <c r="AN77" i="20"/>
  <c r="AM77" i="20"/>
  <c r="AL77" i="20"/>
  <c r="AK77" i="20"/>
  <c r="AJ77" i="20"/>
  <c r="AI77" i="20"/>
  <c r="AH77" i="20"/>
  <c r="AG77" i="20"/>
  <c r="AF77" i="20"/>
  <c r="AE77" i="20"/>
  <c r="AD77" i="20"/>
  <c r="AC77" i="20"/>
  <c r="AB77" i="20"/>
  <c r="AA77" i="20"/>
  <c r="Z77" i="20"/>
  <c r="Y77" i="20"/>
  <c r="X77" i="20"/>
  <c r="W77" i="20"/>
  <c r="V77" i="20"/>
  <c r="U77" i="20"/>
  <c r="T77" i="20"/>
  <c r="S77" i="20"/>
  <c r="AS76" i="20"/>
  <c r="AR76" i="20"/>
  <c r="AQ76" i="20"/>
  <c r="AP76" i="20"/>
  <c r="AO76" i="20"/>
  <c r="AN76" i="20"/>
  <c r="AM76" i="20"/>
  <c r="AL76" i="20"/>
  <c r="AK76" i="20"/>
  <c r="AJ76" i="20"/>
  <c r="AI76" i="20"/>
  <c r="AH76" i="20"/>
  <c r="AG76" i="20"/>
  <c r="AF76" i="20"/>
  <c r="AE76" i="20"/>
  <c r="AD76" i="20"/>
  <c r="AC76" i="20"/>
  <c r="AB76" i="20"/>
  <c r="AA76" i="20"/>
  <c r="Z76" i="20"/>
  <c r="Y76" i="20"/>
  <c r="X76" i="20"/>
  <c r="W76" i="20"/>
  <c r="V76" i="20"/>
  <c r="U76" i="20"/>
  <c r="T76" i="20"/>
  <c r="S76" i="20"/>
  <c r="AS75" i="20"/>
  <c r="AR75" i="20"/>
  <c r="AQ75" i="20"/>
  <c r="AP75" i="20"/>
  <c r="AO75" i="20"/>
  <c r="AN75" i="20"/>
  <c r="AM75" i="20"/>
  <c r="AL75" i="20"/>
  <c r="AK75" i="20"/>
  <c r="AJ75" i="20"/>
  <c r="AI75" i="20"/>
  <c r="AH75" i="20"/>
  <c r="AG75" i="20"/>
  <c r="AF75" i="20"/>
  <c r="AE75" i="20"/>
  <c r="AD75" i="20"/>
  <c r="AC75" i="20"/>
  <c r="AB75" i="20"/>
  <c r="AA75" i="20"/>
  <c r="Z75" i="20"/>
  <c r="Y75" i="20"/>
  <c r="X75" i="20"/>
  <c r="W75" i="20"/>
  <c r="V75" i="20"/>
  <c r="U75" i="20"/>
  <c r="T75" i="20"/>
  <c r="S75" i="20"/>
  <c r="BV72" i="20"/>
  <c r="BP72" i="20"/>
  <c r="BO72" i="20"/>
  <c r="BN72" i="20"/>
  <c r="BM72" i="20"/>
  <c r="BL72" i="20"/>
  <c r="BK72" i="20"/>
  <c r="AS71" i="20"/>
  <c r="AS73" i="20" s="1"/>
  <c r="AR71" i="20"/>
  <c r="AR73" i="20" s="1"/>
  <c r="AQ71" i="20"/>
  <c r="AQ73" i="20" s="1"/>
  <c r="AP71" i="20"/>
  <c r="AP73" i="20" s="1"/>
  <c r="AO71" i="20"/>
  <c r="AO73" i="20" s="1"/>
  <c r="AN71" i="20"/>
  <c r="AN73" i="20" s="1"/>
  <c r="AM71" i="20"/>
  <c r="AM73" i="20" s="1"/>
  <c r="AL71" i="20"/>
  <c r="AL73" i="20" s="1"/>
  <c r="AK71" i="20"/>
  <c r="AK73" i="20" s="1"/>
  <c r="AJ71" i="20"/>
  <c r="AJ73" i="20" s="1"/>
  <c r="AI71" i="20"/>
  <c r="AI73" i="20" s="1"/>
  <c r="AH71" i="20"/>
  <c r="AH73" i="20" s="1"/>
  <c r="AG71" i="20"/>
  <c r="AG73" i="20" s="1"/>
  <c r="AF71" i="20"/>
  <c r="AF73" i="20" s="1"/>
  <c r="AE71" i="20"/>
  <c r="AE73" i="20" s="1"/>
  <c r="AD71" i="20"/>
  <c r="AD73" i="20" s="1"/>
  <c r="AC71" i="20"/>
  <c r="AC73" i="20" s="1"/>
  <c r="AB71" i="20"/>
  <c r="AB73" i="20" s="1"/>
  <c r="AA71" i="20"/>
  <c r="AA73" i="20" s="1"/>
  <c r="Z71" i="20"/>
  <c r="Z73" i="20" s="1"/>
  <c r="Y71" i="20"/>
  <c r="Y73" i="20" s="1"/>
  <c r="X71" i="20"/>
  <c r="X73" i="20" s="1"/>
  <c r="W71" i="20"/>
  <c r="W73" i="20" s="1"/>
  <c r="V71" i="20"/>
  <c r="V73" i="20" s="1"/>
  <c r="U71" i="20"/>
  <c r="U73" i="20" s="1"/>
  <c r="T71" i="20"/>
  <c r="T73" i="20" s="1"/>
  <c r="S71" i="20"/>
  <c r="S73" i="20" s="1"/>
  <c r="BP70" i="20"/>
  <c r="BO70" i="20"/>
  <c r="BN70" i="20"/>
  <c r="BM70" i="20"/>
  <c r="BL70" i="20"/>
  <c r="BK70" i="20"/>
  <c r="BP69" i="20"/>
  <c r="BO69" i="20"/>
  <c r="BN69" i="20"/>
  <c r="BM69" i="20"/>
  <c r="BL69" i="20"/>
  <c r="BK69" i="20"/>
  <c r="BP68" i="20"/>
  <c r="BO68" i="20"/>
  <c r="BN68" i="20"/>
  <c r="BM68" i="20"/>
  <c r="BL68" i="20"/>
  <c r="BK68" i="20"/>
  <c r="BP67" i="20"/>
  <c r="BO67" i="20"/>
  <c r="BN67" i="20"/>
  <c r="BM67" i="20"/>
  <c r="BL67" i="20"/>
  <c r="BK67" i="20"/>
  <c r="BP66" i="20"/>
  <c r="BO66" i="20"/>
  <c r="BN66" i="20"/>
  <c r="BM66" i="20"/>
  <c r="BL66" i="20"/>
  <c r="BK66" i="20"/>
  <c r="BV65" i="20"/>
  <c r="BV67" i="20" s="1"/>
  <c r="BP65" i="20"/>
  <c r="BO65" i="20"/>
  <c r="BN65" i="20"/>
  <c r="BM65" i="20"/>
  <c r="BL65" i="20"/>
  <c r="BK65" i="20"/>
  <c r="BP64" i="20"/>
  <c r="BO64" i="20"/>
  <c r="BN64" i="20"/>
  <c r="BM64" i="20"/>
  <c r="BL64" i="20"/>
  <c r="BK64" i="20"/>
  <c r="CA63" i="20"/>
  <c r="AS62" i="20"/>
  <c r="AR62" i="20"/>
  <c r="AQ62" i="20"/>
  <c r="AP62" i="20"/>
  <c r="AO62" i="20"/>
  <c r="AO79" i="20" s="1"/>
  <c r="AN62" i="20"/>
  <c r="AN79" i="20" s="1"/>
  <c r="AM62" i="20"/>
  <c r="AM79" i="20" s="1"/>
  <c r="AL62" i="20"/>
  <c r="AK62" i="20"/>
  <c r="AK79" i="20" s="1"/>
  <c r="AJ62" i="20"/>
  <c r="AJ79" i="20" s="1"/>
  <c r="AI62" i="20"/>
  <c r="AI79" i="20" s="1"/>
  <c r="AH62" i="20"/>
  <c r="AG62" i="20"/>
  <c r="AG79" i="20" s="1"/>
  <c r="AF62" i="20"/>
  <c r="AF79" i="20" s="1"/>
  <c r="AE62" i="20"/>
  <c r="AE79" i="20" s="1"/>
  <c r="AD62" i="20"/>
  <c r="AC62" i="20"/>
  <c r="AC79" i="20" s="1"/>
  <c r="AB62" i="20"/>
  <c r="AB79" i="20" s="1"/>
  <c r="AA62" i="20"/>
  <c r="AA79" i="20" s="1"/>
  <c r="Z62" i="20"/>
  <c r="Y62" i="20"/>
  <c r="Y79" i="20" s="1"/>
  <c r="X62" i="20"/>
  <c r="X79" i="20" s="1"/>
  <c r="W62" i="20"/>
  <c r="W79" i="20" s="1"/>
  <c r="V62" i="20"/>
  <c r="U62" i="20"/>
  <c r="T62" i="20"/>
  <c r="S62" i="20"/>
  <c r="CA61" i="20"/>
  <c r="BP61" i="20"/>
  <c r="BO61" i="20"/>
  <c r="BN61" i="20"/>
  <c r="BM61" i="20"/>
  <c r="BL61" i="20"/>
  <c r="BK61" i="20"/>
  <c r="BP60" i="20"/>
  <c r="BO60" i="20"/>
  <c r="BN60" i="20"/>
  <c r="BM60" i="20"/>
  <c r="BL60" i="20"/>
  <c r="BK60" i="20"/>
  <c r="BP59" i="20"/>
  <c r="BO59" i="20"/>
  <c r="BN59" i="20"/>
  <c r="BM59" i="20"/>
  <c r="BL59" i="20"/>
  <c r="BK59" i="20"/>
  <c r="BP58" i="20"/>
  <c r="BO58" i="20"/>
  <c r="BN58" i="20"/>
  <c r="BM58" i="20"/>
  <c r="BL58" i="20"/>
  <c r="BK58" i="20"/>
  <c r="CA57" i="20"/>
  <c r="BP57" i="20"/>
  <c r="BO57" i="20"/>
  <c r="BN57" i="20"/>
  <c r="BM57" i="20"/>
  <c r="BL57" i="20"/>
  <c r="BK57" i="20"/>
  <c r="CA56" i="20"/>
  <c r="BP56" i="20"/>
  <c r="BO56" i="20"/>
  <c r="BN56" i="20"/>
  <c r="BM56" i="20"/>
  <c r="BL56" i="20"/>
  <c r="BK56" i="20"/>
  <c r="BP55" i="20"/>
  <c r="BO55" i="20"/>
  <c r="BN55" i="20"/>
  <c r="BM55" i="20"/>
  <c r="BL55" i="20"/>
  <c r="BK55" i="20"/>
  <c r="BP54" i="20"/>
  <c r="BO54" i="20"/>
  <c r="BN54" i="20"/>
  <c r="BM54" i="20"/>
  <c r="BL54" i="20"/>
  <c r="BK54" i="20"/>
  <c r="BP53" i="20"/>
  <c r="BO53" i="20"/>
  <c r="BN53" i="20"/>
  <c r="BQ80" i="20" s="1"/>
  <c r="BM53" i="20"/>
  <c r="BL53" i="20"/>
  <c r="BK53" i="20"/>
  <c r="BP52" i="20"/>
  <c r="BO52" i="20"/>
  <c r="BN52" i="20"/>
  <c r="BM52" i="20"/>
  <c r="BL52" i="20"/>
  <c r="BK52" i="20"/>
  <c r="BP51" i="20"/>
  <c r="BO51" i="20"/>
  <c r="BN51" i="20"/>
  <c r="BM51" i="20"/>
  <c r="BL51" i="20"/>
  <c r="BK51" i="20"/>
  <c r="BP50" i="20"/>
  <c r="BO50" i="20"/>
  <c r="BN50" i="20"/>
  <c r="BM50" i="20"/>
  <c r="BL50" i="20"/>
  <c r="BK50" i="20"/>
  <c r="R48" i="20"/>
  <c r="Q48" i="20"/>
  <c r="P48" i="20"/>
  <c r="O48" i="20"/>
  <c r="N48" i="20"/>
  <c r="M48" i="20"/>
  <c r="L48" i="20"/>
  <c r="K48" i="20"/>
  <c r="J48" i="20"/>
  <c r="I48" i="20"/>
  <c r="H48" i="20"/>
  <c r="G48" i="20"/>
  <c r="F48" i="20"/>
  <c r="E48" i="20"/>
  <c r="D48" i="20"/>
  <c r="C48" i="20"/>
  <c r="AO45" i="20"/>
  <c r="AN45" i="20"/>
  <c r="AM45" i="20"/>
  <c r="AK45" i="20"/>
  <c r="AJ45" i="20"/>
  <c r="AI45" i="20"/>
  <c r="AG45" i="20"/>
  <c r="AF45" i="20"/>
  <c r="AE45" i="20"/>
  <c r="AC45" i="20"/>
  <c r="AB45" i="20"/>
  <c r="AA45" i="20"/>
  <c r="Y45" i="20"/>
  <c r="X45" i="20"/>
  <c r="W45" i="20"/>
  <c r="R45" i="20"/>
  <c r="Q45" i="20"/>
  <c r="P45" i="20"/>
  <c r="O45" i="20"/>
  <c r="N45" i="20"/>
  <c r="M45" i="20"/>
  <c r="L45" i="20"/>
  <c r="K45" i="20"/>
  <c r="J45" i="20"/>
  <c r="I45" i="20"/>
  <c r="H45" i="20"/>
  <c r="G45" i="20"/>
  <c r="F45" i="20"/>
  <c r="E45" i="20"/>
  <c r="D45" i="20"/>
  <c r="C45" i="20"/>
  <c r="AO44" i="20"/>
  <c r="AN44" i="20"/>
  <c r="AM44" i="20"/>
  <c r="AK44" i="20"/>
  <c r="AJ44" i="20"/>
  <c r="AI44" i="20"/>
  <c r="AG44" i="20"/>
  <c r="AF44" i="20"/>
  <c r="AE44" i="20"/>
  <c r="AC44" i="20"/>
  <c r="AB44" i="20"/>
  <c r="AA44" i="20"/>
  <c r="Y44" i="20"/>
  <c r="X44" i="20"/>
  <c r="W44" i="20"/>
  <c r="R44" i="20"/>
  <c r="Q44" i="20"/>
  <c r="P44" i="20"/>
  <c r="O44" i="20"/>
  <c r="N44" i="20"/>
  <c r="M44" i="20"/>
  <c r="L44" i="20"/>
  <c r="K44" i="20"/>
  <c r="J44" i="20"/>
  <c r="I44" i="20"/>
  <c r="H44" i="20"/>
  <c r="G44" i="20"/>
  <c r="F44" i="20"/>
  <c r="E44" i="20"/>
  <c r="D44" i="20"/>
  <c r="C44" i="20"/>
  <c r="BP40" i="20"/>
  <c r="BS40" i="20" s="1"/>
  <c r="BT40" i="20" s="1"/>
  <c r="BU40" i="20" s="1"/>
  <c r="BV40" i="20" s="1"/>
  <c r="BW40" i="20" s="1"/>
  <c r="BX40" i="20" s="1"/>
  <c r="BY40" i="20" s="1"/>
  <c r="BZ40" i="20" s="1"/>
  <c r="CA40" i="20" s="1"/>
  <c r="BO40" i="20"/>
  <c r="BN40" i="20"/>
  <c r="BM40" i="20"/>
  <c r="R39" i="20"/>
  <c r="R84" i="20" s="1"/>
  <c r="Q39" i="20"/>
  <c r="Q84" i="20" s="1"/>
  <c r="P39" i="20"/>
  <c r="O39" i="20"/>
  <c r="N39" i="20"/>
  <c r="M39" i="20"/>
  <c r="L39" i="20"/>
  <c r="L84" i="20" s="1"/>
  <c r="K39" i="20"/>
  <c r="K84" i="20" s="1"/>
  <c r="J39" i="20"/>
  <c r="J84" i="20" s="1"/>
  <c r="I39" i="20"/>
  <c r="I84" i="20" s="1"/>
  <c r="H39" i="20"/>
  <c r="G39" i="20"/>
  <c r="G84" i="20" s="1"/>
  <c r="F39" i="20"/>
  <c r="F41" i="20" s="1"/>
  <c r="E39" i="20"/>
  <c r="D39" i="20"/>
  <c r="D84" i="20" s="1"/>
  <c r="C39" i="20"/>
  <c r="C84" i="20" s="1"/>
  <c r="BJ38" i="20"/>
  <c r="BI38" i="20"/>
  <c r="BH38" i="20"/>
  <c r="BG38" i="20"/>
  <c r="AD38" i="20"/>
  <c r="Z38" i="20"/>
  <c r="V38" i="20"/>
  <c r="BK38" i="20" s="1"/>
  <c r="BJ37" i="20"/>
  <c r="BI37" i="20"/>
  <c r="BH37" i="20"/>
  <c r="BG37" i="20"/>
  <c r="BJ36" i="20"/>
  <c r="BI36" i="20"/>
  <c r="BH36" i="20"/>
  <c r="BG36" i="20"/>
  <c r="AP36" i="20"/>
  <c r="AL36" i="20"/>
  <c r="AH36" i="20"/>
  <c r="BN36" i="20" s="1"/>
  <c r="AD36" i="20"/>
  <c r="BM36" i="20" s="1"/>
  <c r="Z36" i="20"/>
  <c r="BL36" i="20" s="1"/>
  <c r="V36" i="20"/>
  <c r="BK36" i="20" s="1"/>
  <c r="BJ34" i="20"/>
  <c r="BI34" i="20"/>
  <c r="BH34" i="20"/>
  <c r="BG34" i="20"/>
  <c r="AP34" i="20"/>
  <c r="BP34" i="20" s="1"/>
  <c r="AL34" i="20"/>
  <c r="BO34" i="20" s="1"/>
  <c r="AG34" i="20"/>
  <c r="AF34" i="20"/>
  <c r="AE34" i="20"/>
  <c r="AC34" i="20"/>
  <c r="AB34" i="20"/>
  <c r="AA34" i="20"/>
  <c r="Y34" i="20"/>
  <c r="X34" i="20"/>
  <c r="W34" i="20"/>
  <c r="U34" i="20"/>
  <c r="U35" i="20" s="1"/>
  <c r="T34" i="20"/>
  <c r="S34" i="20"/>
  <c r="BJ32" i="20"/>
  <c r="BI32" i="20"/>
  <c r="AP32" i="20"/>
  <c r="BP32" i="20" s="1"/>
  <c r="AL32" i="20"/>
  <c r="BO32" i="20" s="1"/>
  <c r="AH32" i="20"/>
  <c r="BN32" i="20" s="1"/>
  <c r="AD32" i="20"/>
  <c r="BM32" i="20" s="1"/>
  <c r="Z32" i="20"/>
  <c r="BL32" i="20" s="1"/>
  <c r="V32" i="20"/>
  <c r="BK32" i="20" s="1"/>
  <c r="G32" i="20"/>
  <c r="BH32" i="20" s="1"/>
  <c r="F32" i="20"/>
  <c r="E32" i="20"/>
  <c r="D32" i="20"/>
  <c r="BJ31" i="20"/>
  <c r="BI31" i="20"/>
  <c r="BH31" i="20"/>
  <c r="BG31" i="20"/>
  <c r="AP31" i="20"/>
  <c r="BP31" i="20" s="1"/>
  <c r="AL31" i="20"/>
  <c r="BO31" i="20" s="1"/>
  <c r="AH31" i="20"/>
  <c r="BN31" i="20" s="1"/>
  <c r="AD31" i="20"/>
  <c r="BM31" i="20" s="1"/>
  <c r="Z31" i="20"/>
  <c r="BL31" i="20" s="1"/>
  <c r="V31" i="20"/>
  <c r="BK31" i="20" s="1"/>
  <c r="BJ30" i="20"/>
  <c r="BI30" i="20"/>
  <c r="BH30" i="20"/>
  <c r="BG30" i="20"/>
  <c r="AP30" i="20"/>
  <c r="BP30" i="20" s="1"/>
  <c r="AL30" i="20"/>
  <c r="AH30" i="20"/>
  <c r="AD30" i="20"/>
  <c r="BM30" i="20" s="1"/>
  <c r="Z30" i="20"/>
  <c r="V30" i="20"/>
  <c r="BK30" i="20" s="1"/>
  <c r="BJ29" i="20"/>
  <c r="BI29" i="20"/>
  <c r="BH29" i="20"/>
  <c r="BG29" i="20"/>
  <c r="AP29" i="20"/>
  <c r="BP29" i="20" s="1"/>
  <c r="AL29" i="20"/>
  <c r="BO29" i="20" s="1"/>
  <c r="AH29" i="20"/>
  <c r="AD29" i="20"/>
  <c r="BM29" i="20" s="1"/>
  <c r="Z29" i="20"/>
  <c r="V29" i="20"/>
  <c r="AO28" i="20"/>
  <c r="AN28" i="20"/>
  <c r="AM28" i="20"/>
  <c r="AK28" i="20"/>
  <c r="AK43" i="20" s="1"/>
  <c r="AJ28" i="20"/>
  <c r="AJ43" i="20" s="1"/>
  <c r="AI28" i="20"/>
  <c r="AI43" i="20" s="1"/>
  <c r="AG28" i="20"/>
  <c r="AF28" i="20"/>
  <c r="AE28" i="20"/>
  <c r="AE33" i="20" s="1"/>
  <c r="AC28" i="20"/>
  <c r="AC33" i="20" s="1"/>
  <c r="AC46" i="20" s="1"/>
  <c r="AB28" i="20"/>
  <c r="AB43" i="20" s="1"/>
  <c r="AA28" i="20"/>
  <c r="AA43" i="20" s="1"/>
  <c r="Y28" i="20"/>
  <c r="X28" i="20"/>
  <c r="W28" i="20"/>
  <c r="R28" i="20"/>
  <c r="R43" i="20" s="1"/>
  <c r="Q28" i="20"/>
  <c r="Q43" i="20" s="1"/>
  <c r="P28" i="20"/>
  <c r="O28" i="20"/>
  <c r="N28" i="20"/>
  <c r="N33" i="20" s="1"/>
  <c r="N46" i="20" s="1"/>
  <c r="M28" i="20"/>
  <c r="M33" i="20" s="1"/>
  <c r="L28" i="20"/>
  <c r="L33" i="20" s="1"/>
  <c r="K28" i="20"/>
  <c r="K33" i="20" s="1"/>
  <c r="J28" i="20"/>
  <c r="J43" i="20" s="1"/>
  <c r="I28" i="20"/>
  <c r="I43" i="20" s="1"/>
  <c r="H28" i="20"/>
  <c r="G28" i="20"/>
  <c r="F28" i="20"/>
  <c r="E28" i="20"/>
  <c r="E43" i="20" s="1"/>
  <c r="D28" i="20"/>
  <c r="D43" i="20" s="1"/>
  <c r="C28" i="20"/>
  <c r="C43" i="20" s="1"/>
  <c r="BJ27" i="20"/>
  <c r="BI27" i="20"/>
  <c r="BH27" i="20"/>
  <c r="BG27" i="20"/>
  <c r="AP27" i="20"/>
  <c r="AP80" i="20" s="1"/>
  <c r="AL27" i="20"/>
  <c r="AL80" i="20" s="1"/>
  <c r="AH27" i="20"/>
  <c r="AD27" i="20"/>
  <c r="AD80" i="20" s="1"/>
  <c r="Z27" i="20"/>
  <c r="Z80" i="20" s="1"/>
  <c r="V27" i="20"/>
  <c r="V80" i="20" s="1"/>
  <c r="BJ26" i="20"/>
  <c r="BI26" i="20"/>
  <c r="BH26" i="20"/>
  <c r="BG26" i="20"/>
  <c r="AP26" i="20"/>
  <c r="AL26" i="20"/>
  <c r="BO26" i="20" s="1"/>
  <c r="AH26" i="20"/>
  <c r="AH78" i="20" s="1"/>
  <c r="AD26" i="20"/>
  <c r="Z26" i="20"/>
  <c r="AS20" i="20"/>
  <c r="AR20" i="20"/>
  <c r="AQ20" i="20"/>
  <c r="AO20" i="20"/>
  <c r="AN20" i="20"/>
  <c r="AM20" i="20"/>
  <c r="AK20" i="20"/>
  <c r="AJ20" i="20"/>
  <c r="AI20" i="20"/>
  <c r="AG20" i="20"/>
  <c r="AF20" i="20"/>
  <c r="AE20" i="20"/>
  <c r="AC20" i="20"/>
  <c r="AB20" i="20"/>
  <c r="AA20" i="20"/>
  <c r="AS19" i="20"/>
  <c r="AR19" i="20"/>
  <c r="AQ19" i="20"/>
  <c r="AO19" i="20"/>
  <c r="AN19" i="20"/>
  <c r="AM19" i="20"/>
  <c r="AK19" i="20"/>
  <c r="AJ19" i="20"/>
  <c r="AI19" i="20"/>
  <c r="AG19" i="20"/>
  <c r="AF19" i="20"/>
  <c r="AE19" i="20"/>
  <c r="AC19" i="20"/>
  <c r="AB19" i="20"/>
  <c r="AA19" i="20"/>
  <c r="Y19" i="20"/>
  <c r="X19" i="20"/>
  <c r="W19" i="20"/>
  <c r="AS17" i="20"/>
  <c r="AS26" i="20" s="1"/>
  <c r="AR17" i="20"/>
  <c r="AQ17" i="20"/>
  <c r="AO17" i="20"/>
  <c r="AO24" i="20" s="1"/>
  <c r="AN17" i="20"/>
  <c r="AN24" i="20" s="1"/>
  <c r="AM17" i="20"/>
  <c r="AM24" i="20" s="1"/>
  <c r="AK17" i="20"/>
  <c r="AJ17" i="20"/>
  <c r="AJ23" i="20" s="1"/>
  <c r="AI17" i="20"/>
  <c r="AG17" i="20"/>
  <c r="AG24" i="20" s="1"/>
  <c r="AF17" i="20"/>
  <c r="AF24" i="20" s="1"/>
  <c r="AE17" i="20"/>
  <c r="AE24" i="20" s="1"/>
  <c r="AC17" i="20"/>
  <c r="AC24" i="20" s="1"/>
  <c r="AB17" i="20"/>
  <c r="AB23" i="20" s="1"/>
  <c r="AA17" i="20"/>
  <c r="Y17" i="20"/>
  <c r="Y24" i="20" s="1"/>
  <c r="X17" i="20"/>
  <c r="X24" i="20" s="1"/>
  <c r="W17" i="20"/>
  <c r="BN16" i="20"/>
  <c r="BM16" i="20"/>
  <c r="AP16" i="20"/>
  <c r="AL16" i="20"/>
  <c r="AH16" i="20"/>
  <c r="AD16" i="20"/>
  <c r="Z16" i="20"/>
  <c r="U16" i="20"/>
  <c r="Y20" i="20" s="1"/>
  <c r="T16" i="20"/>
  <c r="T17" i="20" s="1"/>
  <c r="T23" i="20" s="1"/>
  <c r="S16" i="20"/>
  <c r="W20" i="20" s="1"/>
  <c r="BN15" i="20"/>
  <c r="BM15" i="20"/>
  <c r="AP15" i="20"/>
  <c r="AT19" i="20" s="1"/>
  <c r="AL15" i="20"/>
  <c r="BO15" i="20" s="1"/>
  <c r="AH15" i="20"/>
  <c r="AD15" i="20"/>
  <c r="Z15" i="20"/>
  <c r="BL15" i="20" s="1"/>
  <c r="V15" i="20"/>
  <c r="BK15" i="20" s="1"/>
  <c r="AS9" i="20"/>
  <c r="AR9" i="20"/>
  <c r="AQ9" i="20"/>
  <c r="AO9" i="20"/>
  <c r="AN9" i="20"/>
  <c r="AM9" i="20"/>
  <c r="AS8" i="20"/>
  <c r="AR8" i="20"/>
  <c r="AQ8" i="20"/>
  <c r="AO8" i="20"/>
  <c r="AN8" i="20"/>
  <c r="AM8" i="20"/>
  <c r="AS6" i="20"/>
  <c r="AR6" i="20"/>
  <c r="AQ6" i="20"/>
  <c r="BQ6" i="20" s="1"/>
  <c r="AO6" i="20"/>
  <c r="AO13" i="20" s="1"/>
  <c r="AN6" i="20"/>
  <c r="AM6" i="20"/>
  <c r="AK6" i="20"/>
  <c r="AK13" i="20" s="1"/>
  <c r="AJ6" i="20"/>
  <c r="AI6" i="20"/>
  <c r="AP5" i="20"/>
  <c r="AL5" i="20"/>
  <c r="BO5" i="20" s="1"/>
  <c r="AP4" i="20"/>
  <c r="AL4" i="20"/>
  <c r="BO4" i="20" s="1"/>
  <c r="BO3" i="20"/>
  <c r="BP3" i="20" s="1"/>
  <c r="BQ3" i="20" l="1"/>
  <c r="BR3" i="20" s="1"/>
  <c r="BS3" i="20" s="1"/>
  <c r="BT3" i="20" s="1"/>
  <c r="BU3" i="20" s="1"/>
  <c r="BV3" i="20" s="1"/>
  <c r="BW3" i="20" s="1"/>
  <c r="BX3" i="20" s="1"/>
  <c r="BY3" i="20" s="1"/>
  <c r="BZ3" i="20" s="1"/>
  <c r="CA3" i="20" s="1"/>
  <c r="CB3" i="20" s="1"/>
  <c r="CC3" i="20" s="1"/>
  <c r="CD3" i="20" s="1"/>
  <c r="CE3" i="20" s="1"/>
  <c r="CF3" i="20" s="1"/>
  <c r="CG3" i="20" s="1"/>
  <c r="CH3" i="20" s="1"/>
  <c r="CI3" i="20" s="1"/>
  <c r="CJ3" i="20" s="1"/>
  <c r="CK3" i="20" s="1"/>
  <c r="CL3" i="20" s="1"/>
  <c r="CM3" i="20" s="1"/>
  <c r="CN3" i="20" s="1"/>
  <c r="CO3" i="20" s="1"/>
  <c r="CP3" i="20" s="1"/>
  <c r="CQ3" i="20" s="1"/>
  <c r="CR3" i="20" s="1"/>
  <c r="CS3" i="20" s="1"/>
  <c r="CT3" i="20" s="1"/>
  <c r="CU3" i="20" s="1"/>
  <c r="CV3" i="20" s="1"/>
  <c r="CW3" i="20" s="1"/>
  <c r="CX3" i="20" s="1"/>
  <c r="CY3" i="20" s="1"/>
  <c r="CZ3" i="20" s="1"/>
  <c r="DA3" i="20" s="1"/>
  <c r="DB3" i="20" s="1"/>
  <c r="DC3" i="20" s="1"/>
  <c r="DD3" i="20" s="1"/>
  <c r="DE3" i="20" s="1"/>
  <c r="DF3" i="20" s="1"/>
  <c r="DG3" i="20" s="1"/>
  <c r="DH3" i="20" s="1"/>
  <c r="DI3" i="20" s="1"/>
  <c r="DJ3" i="20" s="1"/>
  <c r="DK3" i="20" s="1"/>
  <c r="DL3" i="20" s="1"/>
  <c r="DM3" i="20" s="1"/>
  <c r="DN3" i="20" s="1"/>
  <c r="DO3" i="20" s="1"/>
  <c r="BR10" i="20"/>
  <c r="AQ26" i="20"/>
  <c r="AU21" i="20"/>
  <c r="BQ17" i="20"/>
  <c r="AR26" i="20"/>
  <c r="AV21" i="20"/>
  <c r="X87" i="20"/>
  <c r="X89" i="20" s="1"/>
  <c r="BI87" i="20"/>
  <c r="BI89" i="20" s="1"/>
  <c r="H89" i="20"/>
  <c r="P89" i="20"/>
  <c r="BP16" i="20"/>
  <c r="BQ20" i="20" s="1"/>
  <c r="AT20" i="20"/>
  <c r="AT26" i="20"/>
  <c r="AX5" i="20"/>
  <c r="AT9" i="20"/>
  <c r="AR86" i="20"/>
  <c r="AT86" i="20"/>
  <c r="AR85" i="20"/>
  <c r="AT85" i="20"/>
  <c r="BP4" i="20"/>
  <c r="BQ8" i="20" s="1"/>
  <c r="AT8" i="20"/>
  <c r="BL19" i="20"/>
  <c r="AJ87" i="20"/>
  <c r="AJ89" i="20" s="1"/>
  <c r="J89" i="20"/>
  <c r="AS10" i="20"/>
  <c r="BJ87" i="20"/>
  <c r="BJ89" i="20" s="1"/>
  <c r="R89" i="20"/>
  <c r="F89" i="20"/>
  <c r="N89" i="20"/>
  <c r="V89" i="20"/>
  <c r="AP17" i="20"/>
  <c r="AD34" i="20"/>
  <c r="BM34" i="20" s="1"/>
  <c r="BO6" i="20"/>
  <c r="AR10" i="20"/>
  <c r="E89" i="20"/>
  <c r="M89" i="20"/>
  <c r="U89" i="20"/>
  <c r="BL71" i="20"/>
  <c r="BL73" i="20" s="1"/>
  <c r="V34" i="20"/>
  <c r="BK34" i="20" s="1"/>
  <c r="AN10" i="20"/>
  <c r="C89" i="20"/>
  <c r="K89" i="20"/>
  <c r="Z17" i="20"/>
  <c r="Z23" i="20" s="1"/>
  <c r="R41" i="20"/>
  <c r="BK27" i="20"/>
  <c r="BK80" i="20" s="1"/>
  <c r="BH87" i="20"/>
  <c r="BH89" i="20" s="1"/>
  <c r="AA89" i="20"/>
  <c r="AK21" i="20"/>
  <c r="BL27" i="20"/>
  <c r="BL80" i="20" s="1"/>
  <c r="AH34" i="20"/>
  <c r="BN34" i="20" s="1"/>
  <c r="BO62" i="20"/>
  <c r="BO79" i="20" s="1"/>
  <c r="BM76" i="20"/>
  <c r="AK85" i="20"/>
  <c r="AL85" i="20" s="1"/>
  <c r="I89" i="20"/>
  <c r="AB24" i="20"/>
  <c r="BP27" i="20"/>
  <c r="BP80" i="20" s="1"/>
  <c r="I33" i="20"/>
  <c r="I46" i="20" s="1"/>
  <c r="Z34" i="20"/>
  <c r="BL34" i="20" s="1"/>
  <c r="AI89" i="20"/>
  <c r="AK24" i="20"/>
  <c r="AI33" i="20"/>
  <c r="S89" i="20"/>
  <c r="AR24" i="20"/>
  <c r="I41" i="20"/>
  <c r="BG87" i="20"/>
  <c r="BG89" i="20" s="1"/>
  <c r="Q89" i="20"/>
  <c r="Z28" i="20"/>
  <c r="Z43" i="20" s="1"/>
  <c r="AH44" i="20"/>
  <c r="J41" i="20"/>
  <c r="BP5" i="20"/>
  <c r="AS23" i="20"/>
  <c r="BP71" i="20"/>
  <c r="BP73" i="20" s="1"/>
  <c r="AL6" i="20"/>
  <c r="AL13" i="20" s="1"/>
  <c r="BP15" i="20"/>
  <c r="BQ19" i="20" s="1"/>
  <c r="AO21" i="20"/>
  <c r="AJ24" i="20"/>
  <c r="BN26" i="20"/>
  <c r="BN29" i="20"/>
  <c r="AC35" i="20"/>
  <c r="AC37" i="20" s="1"/>
  <c r="BG39" i="20"/>
  <c r="BG48" i="20" s="1"/>
  <c r="G41" i="20"/>
  <c r="BP77" i="20"/>
  <c r="D89" i="20"/>
  <c r="L89" i="20"/>
  <c r="T89" i="20"/>
  <c r="AS21" i="20"/>
  <c r="AC23" i="20"/>
  <c r="BN76" i="20"/>
  <c r="BN71" i="20"/>
  <c r="BN73" i="20" s="1"/>
  <c r="BL16" i="20"/>
  <c r="BM20" i="20" s="1"/>
  <c r="BH45" i="20"/>
  <c r="V16" i="20"/>
  <c r="AK23" i="20"/>
  <c r="AS24" i="20"/>
  <c r="BI45" i="20"/>
  <c r="E33" i="20"/>
  <c r="Q41" i="20"/>
  <c r="BM62" i="20"/>
  <c r="AD20" i="20"/>
  <c r="AC21" i="20"/>
  <c r="T26" i="20"/>
  <c r="T79" i="20" s="1"/>
  <c r="BP62" i="20"/>
  <c r="AN87" i="20"/>
  <c r="AN89" i="20" s="1"/>
  <c r="AV6" i="20"/>
  <c r="S17" i="20"/>
  <c r="S26" i="20" s="1"/>
  <c r="S28" i="20" s="1"/>
  <c r="T24" i="20"/>
  <c r="BG32" i="20"/>
  <c r="L43" i="20"/>
  <c r="BL62" i="20"/>
  <c r="AG21" i="20"/>
  <c r="AD17" i="20"/>
  <c r="AD24" i="20" s="1"/>
  <c r="AP20" i="20"/>
  <c r="AD28" i="20"/>
  <c r="BM77" i="20"/>
  <c r="BK71" i="20"/>
  <c r="BK73" i="20" s="1"/>
  <c r="BN77" i="20"/>
  <c r="BM71" i="20"/>
  <c r="BM73" i="20" s="1"/>
  <c r="AH79" i="20"/>
  <c r="G89" i="20"/>
  <c r="O89" i="20"/>
  <c r="W89" i="20"/>
  <c r="AE89" i="20"/>
  <c r="AM89" i="20"/>
  <c r="CA58" i="20"/>
  <c r="AE46" i="20"/>
  <c r="AE35" i="20"/>
  <c r="AK12" i="20"/>
  <c r="AH19" i="20"/>
  <c r="AP24" i="20"/>
  <c r="AH17" i="20"/>
  <c r="AH24" i="20" s="1"/>
  <c r="AQ23" i="20"/>
  <c r="AQ21" i="20"/>
  <c r="AQ24" i="20"/>
  <c r="K46" i="20"/>
  <c r="BI33" i="20"/>
  <c r="BI46" i="20" s="1"/>
  <c r="K35" i="20"/>
  <c r="W43" i="20"/>
  <c r="W33" i="20"/>
  <c r="AU10" i="20"/>
  <c r="AN12" i="20"/>
  <c r="AN13" i="20"/>
  <c r="AI23" i="20"/>
  <c r="AI21" i="20"/>
  <c r="AI24" i="20"/>
  <c r="AR45" i="20"/>
  <c r="AR79" i="20"/>
  <c r="AR78" i="20"/>
  <c r="AR44" i="20"/>
  <c r="AR28" i="20"/>
  <c r="L35" i="20"/>
  <c r="L47" i="20" s="1"/>
  <c r="L46" i="20"/>
  <c r="X33" i="20"/>
  <c r="X43" i="20"/>
  <c r="BO44" i="20"/>
  <c r="BG45" i="20"/>
  <c r="AS13" i="20"/>
  <c r="AQ45" i="20"/>
  <c r="AQ79" i="20"/>
  <c r="AQ44" i="20"/>
  <c r="AQ78" i="20"/>
  <c r="AQ28" i="20"/>
  <c r="BP8" i="20"/>
  <c r="BO19" i="20"/>
  <c r="AM13" i="20"/>
  <c r="AM12" i="20"/>
  <c r="AM10" i="20"/>
  <c r="AU12" i="20"/>
  <c r="AW6" i="20"/>
  <c r="AW12" i="20" s="1"/>
  <c r="AO12" i="20"/>
  <c r="AP23" i="20"/>
  <c r="AA23" i="20"/>
  <c r="AA21" i="20"/>
  <c r="AA24" i="20"/>
  <c r="AS79" i="20"/>
  <c r="AS78" i="20"/>
  <c r="AS28" i="20"/>
  <c r="AS33" i="20" s="1"/>
  <c r="AL19" i="20"/>
  <c r="AH20" i="20"/>
  <c r="AD43" i="20"/>
  <c r="AD33" i="20"/>
  <c r="M46" i="20"/>
  <c r="M35" i="20"/>
  <c r="M47" i="20" s="1"/>
  <c r="AI35" i="20"/>
  <c r="AI46" i="20"/>
  <c r="BH39" i="20"/>
  <c r="AO10" i="20"/>
  <c r="AP6" i="20"/>
  <c r="AT10" i="20" s="1"/>
  <c r="AP8" i="20"/>
  <c r="AP9" i="20"/>
  <c r="AS12" i="20"/>
  <c r="V17" i="20"/>
  <c r="AD19" i="20"/>
  <c r="Z20" i="20"/>
  <c r="AH80" i="20"/>
  <c r="BN27" i="20"/>
  <c r="BP36" i="20"/>
  <c r="H84" i="20"/>
  <c r="BH84" i="20" s="1"/>
  <c r="H41" i="20"/>
  <c r="P84" i="20"/>
  <c r="P41" i="20"/>
  <c r="AE43" i="20"/>
  <c r="AL20" i="20"/>
  <c r="AL17" i="20"/>
  <c r="BO17" i="20" s="1"/>
  <c r="BO16" i="20"/>
  <c r="AF33" i="20"/>
  <c r="AF43" i="20"/>
  <c r="AU13" i="20"/>
  <c r="AI12" i="20"/>
  <c r="AI13" i="20"/>
  <c r="AQ12" i="20"/>
  <c r="AQ10" i="20"/>
  <c r="AQ13" i="20"/>
  <c r="BN78" i="20"/>
  <c r="BO27" i="20"/>
  <c r="BO80" i="20" s="1"/>
  <c r="G43" i="20"/>
  <c r="G33" i="20"/>
  <c r="BH28" i="20"/>
  <c r="BH43" i="20" s="1"/>
  <c r="BJ28" i="20"/>
  <c r="BJ43" i="20" s="1"/>
  <c r="O33" i="20"/>
  <c r="O43" i="20"/>
  <c r="AM43" i="20"/>
  <c r="AM33" i="20"/>
  <c r="BK29" i="20"/>
  <c r="Z45" i="20"/>
  <c r="BL30" i="20"/>
  <c r="AJ13" i="20"/>
  <c r="AJ12" i="20"/>
  <c r="AR13" i="20"/>
  <c r="AR12" i="20"/>
  <c r="AP79" i="20"/>
  <c r="AP78" i="20"/>
  <c r="AP28" i="20"/>
  <c r="BP26" i="20"/>
  <c r="BO78" i="20"/>
  <c r="H43" i="20"/>
  <c r="H33" i="20"/>
  <c r="P33" i="20"/>
  <c r="P43" i="20"/>
  <c r="AN43" i="20"/>
  <c r="AN33" i="20"/>
  <c r="BN17" i="20"/>
  <c r="BN24" i="20" s="1"/>
  <c r="X20" i="20"/>
  <c r="BN20" i="20"/>
  <c r="AB21" i="20"/>
  <c r="AJ21" i="20"/>
  <c r="AR21" i="20"/>
  <c r="AR23" i="20"/>
  <c r="AL79" i="20"/>
  <c r="AL78" i="20"/>
  <c r="BM26" i="20"/>
  <c r="BM44" i="20" s="1"/>
  <c r="F43" i="20"/>
  <c r="F33" i="20"/>
  <c r="AL28" i="20"/>
  <c r="D33" i="20"/>
  <c r="R33" i="20"/>
  <c r="N35" i="20"/>
  <c r="N47" i="20" s="1"/>
  <c r="BO36" i="20"/>
  <c r="O84" i="20"/>
  <c r="BJ39" i="20"/>
  <c r="AC43" i="20"/>
  <c r="F84" i="20"/>
  <c r="BM19" i="20"/>
  <c r="AE21" i="20"/>
  <c r="AM21" i="20"/>
  <c r="W23" i="20"/>
  <c r="AE23" i="20"/>
  <c r="AM23" i="20"/>
  <c r="Y43" i="20"/>
  <c r="Y33" i="20"/>
  <c r="AG43" i="20"/>
  <c r="AG33" i="20"/>
  <c r="AO43" i="20"/>
  <c r="AO33" i="20"/>
  <c r="Z44" i="20"/>
  <c r="BG44" i="20"/>
  <c r="AD45" i="20"/>
  <c r="J33" i="20"/>
  <c r="AJ33" i="20"/>
  <c r="M43" i="20"/>
  <c r="BO71" i="20"/>
  <c r="BO73" i="20" s="1"/>
  <c r="AB87" i="20"/>
  <c r="AB89" i="20" s="1"/>
  <c r="AC86" i="20"/>
  <c r="AD86" i="20" s="1"/>
  <c r="BM86" i="20" s="1"/>
  <c r="BK16" i="20"/>
  <c r="U17" i="20"/>
  <c r="BN19" i="20"/>
  <c r="X21" i="20"/>
  <c r="AF21" i="20"/>
  <c r="AN21" i="20"/>
  <c r="X23" i="20"/>
  <c r="AF23" i="20"/>
  <c r="AN23" i="20"/>
  <c r="W24" i="20"/>
  <c r="AH28" i="20"/>
  <c r="AD44" i="20"/>
  <c r="BH44" i="20"/>
  <c r="AH45" i="20"/>
  <c r="BJ45" i="20"/>
  <c r="AK33" i="20"/>
  <c r="U47" i="20"/>
  <c r="U37" i="20"/>
  <c r="N43" i="20"/>
  <c r="AS87" i="20"/>
  <c r="Y23" i="20"/>
  <c r="AG23" i="20"/>
  <c r="AO23" i="20"/>
  <c r="Z79" i="20"/>
  <c r="Z78" i="20"/>
  <c r="K43" i="20"/>
  <c r="BI28" i="20"/>
  <c r="BI43" i="20" s="1"/>
  <c r="BG28" i="20"/>
  <c r="BG43" i="20" s="1"/>
  <c r="AL45" i="20"/>
  <c r="AA33" i="20"/>
  <c r="Z19" i="20"/>
  <c r="AP19" i="20"/>
  <c r="AD79" i="20"/>
  <c r="AD78" i="20"/>
  <c r="AL44" i="20"/>
  <c r="AP45" i="20"/>
  <c r="BN30" i="20"/>
  <c r="BN45" i="20" s="1"/>
  <c r="AB33" i="20"/>
  <c r="E84" i="20"/>
  <c r="E41" i="20"/>
  <c r="M84" i="20"/>
  <c r="M41" i="20"/>
  <c r="O41" i="20"/>
  <c r="BL26" i="20"/>
  <c r="BM27" i="20"/>
  <c r="BM80" i="20" s="1"/>
  <c r="BL29" i="20"/>
  <c r="BO30" i="20"/>
  <c r="BO45" i="20" s="1"/>
  <c r="C33" i="20"/>
  <c r="Q33" i="20"/>
  <c r="N41" i="20"/>
  <c r="N84" i="20"/>
  <c r="BK62" i="20"/>
  <c r="BK77" i="20"/>
  <c r="BK75" i="20"/>
  <c r="BO76" i="20"/>
  <c r="AC87" i="20"/>
  <c r="AC89" i="20" s="1"/>
  <c r="AQ87" i="20"/>
  <c r="AQ89" i="20" s="1"/>
  <c r="AF87" i="20"/>
  <c r="AF89" i="20" s="1"/>
  <c r="AP44" i="20"/>
  <c r="BI44" i="20"/>
  <c r="BI39" i="20"/>
  <c r="C41" i="20"/>
  <c r="K41" i="20"/>
  <c r="BN75" i="20"/>
  <c r="BP76" i="20"/>
  <c r="AG85" i="20"/>
  <c r="AG87" i="20" s="1"/>
  <c r="AG89" i="20" s="1"/>
  <c r="BJ44" i="20"/>
  <c r="D41" i="20"/>
  <c r="L41" i="20"/>
  <c r="BO75" i="20"/>
  <c r="BO85" i="20"/>
  <c r="BP75" i="20"/>
  <c r="BK76" i="20"/>
  <c r="BL76" i="20"/>
  <c r="BL86" i="20"/>
  <c r="AO86" i="20"/>
  <c r="AP86" i="20" s="1"/>
  <c r="BP86" i="20" s="1"/>
  <c r="BN62" i="20"/>
  <c r="BN79" i="20" s="1"/>
  <c r="BO77" i="20"/>
  <c r="AD85" i="20"/>
  <c r="AO85" i="20"/>
  <c r="AK86" i="20"/>
  <c r="AL86" i="20" s="1"/>
  <c r="AL87" i="20" s="1"/>
  <c r="AL89" i="20" s="1"/>
  <c r="BL75" i="20"/>
  <c r="BM75" i="20"/>
  <c r="Y85" i="20"/>
  <c r="BL77" i="20"/>
  <c r="AH86" i="20"/>
  <c r="BN86" i="20" s="1"/>
  <c r="BQ23" i="20" l="1"/>
  <c r="BQ24" i="20"/>
  <c r="BQ26" i="20"/>
  <c r="Z33" i="20"/>
  <c r="Z46" i="20" s="1"/>
  <c r="BP6" i="20"/>
  <c r="BQ10" i="20" s="1"/>
  <c r="BQ9" i="20"/>
  <c r="BQ86" i="20"/>
  <c r="AS89" i="20"/>
  <c r="AU87" i="20"/>
  <c r="AU89" i="20" s="1"/>
  <c r="BQ85" i="20"/>
  <c r="AU78" i="20"/>
  <c r="BP17" i="20"/>
  <c r="BP24" i="20" s="1"/>
  <c r="AT21" i="20"/>
  <c r="AD23" i="20"/>
  <c r="AR87" i="20"/>
  <c r="AR89" i="20" s="1"/>
  <c r="AT78" i="20"/>
  <c r="AT45" i="20"/>
  <c r="AT44" i="20"/>
  <c r="AT28" i="20"/>
  <c r="BQ28" i="20" s="1"/>
  <c r="BQ43" i="20" s="1"/>
  <c r="AT79" i="20"/>
  <c r="AT87" i="20"/>
  <c r="AT89" i="20" s="1"/>
  <c r="BN44" i="20"/>
  <c r="BL17" i="20"/>
  <c r="BL23" i="20" s="1"/>
  <c r="Z21" i="20"/>
  <c r="AC47" i="20"/>
  <c r="BP10" i="20"/>
  <c r="BP23" i="20"/>
  <c r="BP9" i="20"/>
  <c r="T78" i="20"/>
  <c r="BR12" i="20"/>
  <c r="T45" i="20"/>
  <c r="AD21" i="20"/>
  <c r="AL12" i="20"/>
  <c r="BO12" i="20" s="1"/>
  <c r="BO28" i="20"/>
  <c r="BO33" i="20" s="1"/>
  <c r="Z24" i="20"/>
  <c r="BI84" i="20"/>
  <c r="AP10" i="20"/>
  <c r="I35" i="20"/>
  <c r="I47" i="20" s="1"/>
  <c r="BG41" i="20"/>
  <c r="BM17" i="20"/>
  <c r="V24" i="20"/>
  <c r="BP19" i="20"/>
  <c r="BG84" i="20"/>
  <c r="AH23" i="20"/>
  <c r="AV13" i="20"/>
  <c r="AH21" i="20"/>
  <c r="AV10" i="20"/>
  <c r="T28" i="20"/>
  <c r="T43" i="20" s="1"/>
  <c r="BJ84" i="20"/>
  <c r="AV12" i="20"/>
  <c r="T44" i="20"/>
  <c r="S23" i="20"/>
  <c r="W21" i="20"/>
  <c r="S44" i="20"/>
  <c r="AX4" i="20"/>
  <c r="AX6" i="20" s="1"/>
  <c r="S24" i="20"/>
  <c r="S78" i="20"/>
  <c r="E46" i="20"/>
  <c r="E35" i="20"/>
  <c r="E47" i="20" s="1"/>
  <c r="BM45" i="20"/>
  <c r="S79" i="20"/>
  <c r="S45" i="20"/>
  <c r="AP21" i="20"/>
  <c r="AP12" i="20"/>
  <c r="BP12" i="20" s="1"/>
  <c r="BO21" i="20"/>
  <c r="BP21" i="20"/>
  <c r="BO23" i="20"/>
  <c r="Y21" i="20"/>
  <c r="U26" i="20"/>
  <c r="U48" i="20" s="1"/>
  <c r="U23" i="20"/>
  <c r="U24" i="20"/>
  <c r="BP79" i="20"/>
  <c r="BP78" i="20"/>
  <c r="BP28" i="20"/>
  <c r="AG35" i="20"/>
  <c r="AG46" i="20"/>
  <c r="AF46" i="20"/>
  <c r="AF35" i="20"/>
  <c r="AC48" i="20"/>
  <c r="AC39" i="20"/>
  <c r="BL79" i="20"/>
  <c r="BL78" i="20"/>
  <c r="BL28" i="20"/>
  <c r="AB46" i="20"/>
  <c r="AB35" i="20"/>
  <c r="AA46" i="20"/>
  <c r="AA35" i="20"/>
  <c r="U39" i="20"/>
  <c r="AO35" i="20"/>
  <c r="AO46" i="20"/>
  <c r="BP45" i="20"/>
  <c r="AN46" i="20"/>
  <c r="AN35" i="20"/>
  <c r="BL45" i="20"/>
  <c r="BN80" i="20"/>
  <c r="BN28" i="20"/>
  <c r="X46" i="20"/>
  <c r="X35" i="20"/>
  <c r="K47" i="20"/>
  <c r="BI35" i="20"/>
  <c r="BI47" i="20" s="1"/>
  <c r="AP13" i="20"/>
  <c r="BP13" i="20" s="1"/>
  <c r="BJ48" i="20"/>
  <c r="BJ41" i="20"/>
  <c r="AK46" i="20"/>
  <c r="AK35" i="20"/>
  <c r="AD87" i="20"/>
  <c r="AD89" i="20" s="1"/>
  <c r="BM85" i="20"/>
  <c r="BM87" i="20" s="1"/>
  <c r="BM89" i="20" s="1"/>
  <c r="Q35" i="20"/>
  <c r="Q47" i="20" s="1"/>
  <c r="Q46" i="20"/>
  <c r="J46" i="20"/>
  <c r="J35" i="20"/>
  <c r="J47" i="20" s="1"/>
  <c r="P46" i="20"/>
  <c r="P35" i="20"/>
  <c r="P47" i="20" s="1"/>
  <c r="BO24" i="20"/>
  <c r="BO20" i="20"/>
  <c r="BP20" i="20"/>
  <c r="BH48" i="20"/>
  <c r="BH41" i="20"/>
  <c r="AJ35" i="20"/>
  <c r="AJ46" i="20"/>
  <c r="AE37" i="20"/>
  <c r="AE47" i="20"/>
  <c r="C46" i="20"/>
  <c r="BG33" i="20"/>
  <c r="BG46" i="20" s="1"/>
  <c r="C35" i="20"/>
  <c r="Y46" i="20"/>
  <c r="Y35" i="20"/>
  <c r="BM78" i="20"/>
  <c r="BM79" i="20"/>
  <c r="BM28" i="20"/>
  <c r="H46" i="20"/>
  <c r="H35" i="20"/>
  <c r="H47" i="20" s="1"/>
  <c r="AM46" i="20"/>
  <c r="AM35" i="20"/>
  <c r="AL24" i="20"/>
  <c r="AQ43" i="20"/>
  <c r="AQ33" i="20"/>
  <c r="BN23" i="20"/>
  <c r="AD46" i="20"/>
  <c r="AD35" i="20"/>
  <c r="AP43" i="20"/>
  <c r="AP33" i="20"/>
  <c r="BP44" i="20"/>
  <c r="BK17" i="20"/>
  <c r="BK24" i="20" s="1"/>
  <c r="AL23" i="20"/>
  <c r="AL21" i="20"/>
  <c r="AR43" i="20"/>
  <c r="AR33" i="20"/>
  <c r="S43" i="20"/>
  <c r="S33" i="20"/>
  <c r="AL43" i="20"/>
  <c r="AL33" i="20"/>
  <c r="AO87" i="20"/>
  <c r="AO89" i="20" s="1"/>
  <c r="AP85" i="20"/>
  <c r="AP87" i="20" s="1"/>
  <c r="AP89" i="20" s="1"/>
  <c r="F46" i="20"/>
  <c r="F35" i="20"/>
  <c r="F47" i="20" s="1"/>
  <c r="Y87" i="20"/>
  <c r="Y89" i="20" s="1"/>
  <c r="Z85" i="20"/>
  <c r="Z87" i="20" s="1"/>
  <c r="Z89" i="20" s="1"/>
  <c r="R46" i="20"/>
  <c r="R35" i="20"/>
  <c r="R47" i="20" s="1"/>
  <c r="BO13" i="20"/>
  <c r="AI47" i="20"/>
  <c r="AI37" i="20"/>
  <c r="AS46" i="20"/>
  <c r="AS35" i="20"/>
  <c r="AS37" i="20" s="1"/>
  <c r="AS39" i="20" s="1"/>
  <c r="BS4" i="20"/>
  <c r="BL20" i="20"/>
  <c r="W46" i="20"/>
  <c r="W35" i="20"/>
  <c r="BI48" i="20"/>
  <c r="BI41" i="20"/>
  <c r="G46" i="20"/>
  <c r="BH33" i="20"/>
  <c r="BH46" i="20" s="1"/>
  <c r="G35" i="20"/>
  <c r="AH85" i="20"/>
  <c r="AH87" i="20" s="1"/>
  <c r="AH89" i="20" s="1"/>
  <c r="BL44" i="20"/>
  <c r="AK87" i="20"/>
  <c r="AK89" i="20" s="1"/>
  <c r="BO86" i="20"/>
  <c r="BO87" i="20" s="1"/>
  <c r="BO89" i="20" s="1"/>
  <c r="AH43" i="20"/>
  <c r="AH33" i="20"/>
  <c r="D46" i="20"/>
  <c r="D35" i="20"/>
  <c r="D47" i="20" s="1"/>
  <c r="O46" i="20"/>
  <c r="BJ33" i="20"/>
  <c r="BJ46" i="20" s="1"/>
  <c r="O35" i="20"/>
  <c r="V26" i="20"/>
  <c r="V23" i="20"/>
  <c r="AW26" i="20"/>
  <c r="AW10" i="20"/>
  <c r="AW13" i="20"/>
  <c r="BQ79" i="20" l="1"/>
  <c r="BQ78" i="20"/>
  <c r="BQ45" i="20"/>
  <c r="BQ44" i="20"/>
  <c r="Z35" i="20"/>
  <c r="Z47" i="20" s="1"/>
  <c r="BQ12" i="20"/>
  <c r="BQ33" i="20"/>
  <c r="BQ46" i="20" s="1"/>
  <c r="BQ13" i="20"/>
  <c r="BQ21" i="20"/>
  <c r="AV87" i="20"/>
  <c r="AV89" i="20" s="1"/>
  <c r="BQ87" i="20"/>
  <c r="BQ89" i="20"/>
  <c r="AV28" i="20"/>
  <c r="AV33" i="20" s="1"/>
  <c r="AV46" i="20" s="1"/>
  <c r="AV80" i="20"/>
  <c r="AU28" i="20"/>
  <c r="AU33" i="20" s="1"/>
  <c r="AU46" i="20" s="1"/>
  <c r="AU80" i="20"/>
  <c r="BL24" i="20"/>
  <c r="AT33" i="20"/>
  <c r="AT43" i="20"/>
  <c r="AX12" i="20"/>
  <c r="BM21" i="20"/>
  <c r="BS5" i="20"/>
  <c r="BT5" i="20" s="1"/>
  <c r="T33" i="20"/>
  <c r="T35" i="20" s="1"/>
  <c r="BM24" i="20"/>
  <c r="BN21" i="20"/>
  <c r="BM23" i="20"/>
  <c r="AX10" i="20"/>
  <c r="BO43" i="20"/>
  <c r="BR13" i="20"/>
  <c r="BN85" i="20"/>
  <c r="BN87" i="20" s="1"/>
  <c r="BN89" i="20" s="1"/>
  <c r="AX26" i="20"/>
  <c r="AX13" i="20"/>
  <c r="AN47" i="20"/>
  <c r="AN37" i="20"/>
  <c r="AA47" i="20"/>
  <c r="AA37" i="20"/>
  <c r="AH46" i="20"/>
  <c r="AH35" i="20"/>
  <c r="Z37" i="20"/>
  <c r="X47" i="20"/>
  <c r="X37" i="20"/>
  <c r="AD37" i="20"/>
  <c r="AD47" i="20"/>
  <c r="BM43" i="20"/>
  <c r="BM33" i="20"/>
  <c r="AB47" i="20"/>
  <c r="AB37" i="20"/>
  <c r="AI39" i="20"/>
  <c r="AI48" i="20"/>
  <c r="AE48" i="20"/>
  <c r="AE39" i="20"/>
  <c r="AO47" i="20"/>
  <c r="AO37" i="20"/>
  <c r="S46" i="20"/>
  <c r="S35" i="20"/>
  <c r="BK23" i="20"/>
  <c r="BL21" i="20"/>
  <c r="Y47" i="20"/>
  <c r="Y37" i="20"/>
  <c r="BN43" i="20"/>
  <c r="BN33" i="20"/>
  <c r="U82" i="20"/>
  <c r="U81" i="20"/>
  <c r="U84" i="20"/>
  <c r="U41" i="20"/>
  <c r="BP43" i="20"/>
  <c r="BP33" i="20"/>
  <c r="V79" i="20"/>
  <c r="V78" i="20"/>
  <c r="V28" i="20"/>
  <c r="V45" i="20"/>
  <c r="V44" i="20"/>
  <c r="BH35" i="20"/>
  <c r="BH47" i="20" s="1"/>
  <c r="G47" i="20"/>
  <c r="BO46" i="20"/>
  <c r="BO35" i="20"/>
  <c r="AK47" i="20"/>
  <c r="AK37" i="20"/>
  <c r="O47" i="20"/>
  <c r="BJ35" i="20"/>
  <c r="BJ47" i="20" s="1"/>
  <c r="W47" i="20"/>
  <c r="W37" i="20"/>
  <c r="BT4" i="20"/>
  <c r="AL46" i="20"/>
  <c r="AL35" i="20"/>
  <c r="AM37" i="20"/>
  <c r="AM47" i="20"/>
  <c r="AJ47" i="20"/>
  <c r="AJ37" i="20"/>
  <c r="AS82" i="20"/>
  <c r="AS81" i="20"/>
  <c r="AS48" i="20"/>
  <c r="AS84" i="20"/>
  <c r="AS41" i="20"/>
  <c r="AF47" i="20"/>
  <c r="AF37" i="20"/>
  <c r="AQ46" i="20"/>
  <c r="AQ35" i="20"/>
  <c r="U79" i="20"/>
  <c r="U78" i="20"/>
  <c r="U46" i="20"/>
  <c r="U44" i="20"/>
  <c r="U28" i="20"/>
  <c r="U43" i="20" s="1"/>
  <c r="U45" i="20"/>
  <c r="BK26" i="20"/>
  <c r="BL43" i="20"/>
  <c r="BL33" i="20"/>
  <c r="AG47" i="20"/>
  <c r="AG37" i="20"/>
  <c r="AW48" i="20"/>
  <c r="AW30" i="20"/>
  <c r="AW27" i="20"/>
  <c r="AW28" i="20" s="1"/>
  <c r="AW29" i="20"/>
  <c r="BL85" i="20"/>
  <c r="BL87" i="20" s="1"/>
  <c r="BL89" i="20" s="1"/>
  <c r="AR46" i="20"/>
  <c r="AR35" i="20"/>
  <c r="AP46" i="20"/>
  <c r="AP35" i="20"/>
  <c r="C47" i="20"/>
  <c r="BG35" i="20"/>
  <c r="BG47" i="20" s="1"/>
  <c r="AC82" i="20"/>
  <c r="AC81" i="20"/>
  <c r="AC84" i="20"/>
  <c r="AC41" i="20"/>
  <c r="BP85" i="20"/>
  <c r="BP87" i="20" s="1"/>
  <c r="BP89" i="20" s="1"/>
  <c r="CB56" i="18"/>
  <c r="CA56" i="2"/>
  <c r="CB63" i="18"/>
  <c r="CB61" i="18"/>
  <c r="BW72" i="18"/>
  <c r="CA63" i="2"/>
  <c r="CA61" i="2"/>
  <c r="BV72" i="2"/>
  <c r="BK50" i="2"/>
  <c r="BL50" i="2"/>
  <c r="BM50" i="2"/>
  <c r="BN50" i="2"/>
  <c r="BO50" i="2"/>
  <c r="BP50" i="2"/>
  <c r="BK51" i="2"/>
  <c r="BL51" i="2"/>
  <c r="BM51" i="2"/>
  <c r="BN51" i="2"/>
  <c r="BO51" i="2"/>
  <c r="BP51" i="2"/>
  <c r="BK52" i="2"/>
  <c r="BL52" i="2"/>
  <c r="BM52" i="2"/>
  <c r="BN52" i="2"/>
  <c r="BO52" i="2"/>
  <c r="BP52" i="2"/>
  <c r="BK53" i="2"/>
  <c r="BL53" i="2"/>
  <c r="BM53" i="2"/>
  <c r="BN53" i="2"/>
  <c r="BO53" i="2"/>
  <c r="BP53" i="2"/>
  <c r="BK54" i="2"/>
  <c r="BL54" i="2"/>
  <c r="BM54" i="2"/>
  <c r="BN54" i="2"/>
  <c r="BO54" i="2"/>
  <c r="BP54" i="2"/>
  <c r="BK55" i="2"/>
  <c r="BL55" i="2"/>
  <c r="BM55" i="2"/>
  <c r="BN55" i="2"/>
  <c r="BO55" i="2"/>
  <c r="BP55" i="2"/>
  <c r="BK56" i="2"/>
  <c r="BL56" i="2"/>
  <c r="BM56" i="2"/>
  <c r="BN56" i="2"/>
  <c r="BO56" i="2"/>
  <c r="BP56" i="2"/>
  <c r="BK57" i="2"/>
  <c r="BL57" i="2"/>
  <c r="BM57" i="2"/>
  <c r="BN57" i="2"/>
  <c r="BO57" i="2"/>
  <c r="BP57" i="2"/>
  <c r="BK58" i="2"/>
  <c r="BL58" i="2"/>
  <c r="BM58" i="2"/>
  <c r="BN58" i="2"/>
  <c r="BO58" i="2"/>
  <c r="BP58" i="2"/>
  <c r="BK59" i="2"/>
  <c r="BL59" i="2"/>
  <c r="BM59" i="2"/>
  <c r="BN59" i="2"/>
  <c r="BO59" i="2"/>
  <c r="BP59" i="2"/>
  <c r="BK60" i="2"/>
  <c r="BL60" i="2"/>
  <c r="BM60" i="2"/>
  <c r="BN60" i="2"/>
  <c r="BO60" i="2"/>
  <c r="BP60" i="2"/>
  <c r="BK61" i="2"/>
  <c r="BL61" i="2"/>
  <c r="BM61" i="2"/>
  <c r="BN61" i="2"/>
  <c r="BO61" i="2"/>
  <c r="BP61" i="2"/>
  <c r="BK64" i="2"/>
  <c r="BL64" i="2"/>
  <c r="BM64" i="2"/>
  <c r="BN64" i="2"/>
  <c r="BO64" i="2"/>
  <c r="BP64" i="2"/>
  <c r="BK65" i="2"/>
  <c r="BL65" i="2"/>
  <c r="BM65" i="2"/>
  <c r="BN65" i="2"/>
  <c r="BO65" i="2"/>
  <c r="BP65" i="2"/>
  <c r="BK66" i="2"/>
  <c r="BL66" i="2"/>
  <c r="BM66" i="2"/>
  <c r="BN66" i="2"/>
  <c r="BO66" i="2"/>
  <c r="BP66" i="2"/>
  <c r="BK67" i="2"/>
  <c r="BL67" i="2"/>
  <c r="BM67" i="2"/>
  <c r="BN67" i="2"/>
  <c r="BO67" i="2"/>
  <c r="BP67" i="2"/>
  <c r="BK68" i="2"/>
  <c r="BL68" i="2"/>
  <c r="BM68" i="2"/>
  <c r="BN68" i="2"/>
  <c r="BO68" i="2"/>
  <c r="BP68" i="2"/>
  <c r="BK69" i="2"/>
  <c r="BL69" i="2"/>
  <c r="BM69" i="2"/>
  <c r="BN69" i="2"/>
  <c r="BO69" i="2"/>
  <c r="BP69" i="2"/>
  <c r="BK70" i="2"/>
  <c r="BL70" i="2"/>
  <c r="BM70" i="2"/>
  <c r="BN70" i="2"/>
  <c r="BO70" i="2"/>
  <c r="BP70" i="2"/>
  <c r="BK72" i="2"/>
  <c r="BL72" i="2"/>
  <c r="BM72" i="2"/>
  <c r="BN72" i="2"/>
  <c r="BO72" i="2"/>
  <c r="BP72" i="2"/>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BM88" i="18"/>
  <c r="BL88" i="18"/>
  <c r="BK88" i="18"/>
  <c r="BJ88" i="18"/>
  <c r="BI88" i="18"/>
  <c r="BH88" i="18"/>
  <c r="BL87" i="18"/>
  <c r="BL89" i="18" s="1"/>
  <c r="BK86" i="18"/>
  <c r="BJ86" i="18"/>
  <c r="BI86" i="18"/>
  <c r="BH86" i="18"/>
  <c r="BK85" i="18"/>
  <c r="BJ85" i="18"/>
  <c r="BI85" i="18"/>
  <c r="BH85" i="18"/>
  <c r="BQ72" i="18"/>
  <c r="BP72" i="18"/>
  <c r="BO72" i="18"/>
  <c r="BN72" i="18"/>
  <c r="BM72" i="18"/>
  <c r="BL72" i="18"/>
  <c r="BQ70" i="18"/>
  <c r="BP70" i="18"/>
  <c r="BO70" i="18"/>
  <c r="BN70" i="18"/>
  <c r="BM70" i="18"/>
  <c r="BL70" i="18"/>
  <c r="BQ69" i="18"/>
  <c r="BP69" i="18"/>
  <c r="BO69" i="18"/>
  <c r="BN69" i="18"/>
  <c r="BM69" i="18"/>
  <c r="BL69" i="18"/>
  <c r="BQ68" i="18"/>
  <c r="BP68" i="18"/>
  <c r="BO68" i="18"/>
  <c r="BN68" i="18"/>
  <c r="BM68" i="18"/>
  <c r="BL68" i="18"/>
  <c r="BQ67" i="18"/>
  <c r="BP67" i="18"/>
  <c r="BO67" i="18"/>
  <c r="BN67" i="18"/>
  <c r="BM67" i="18"/>
  <c r="BL67" i="18"/>
  <c r="BQ66" i="18"/>
  <c r="BP66" i="18"/>
  <c r="BO66" i="18"/>
  <c r="BN66" i="18"/>
  <c r="BM66" i="18"/>
  <c r="BL66" i="18"/>
  <c r="BQ65" i="18"/>
  <c r="BP65" i="18"/>
  <c r="BO65" i="18"/>
  <c r="BN65" i="18"/>
  <c r="BM65" i="18"/>
  <c r="BL65" i="18"/>
  <c r="BQ64" i="18"/>
  <c r="BP64" i="18"/>
  <c r="BO64" i="18"/>
  <c r="BN64" i="18"/>
  <c r="BM64" i="18"/>
  <c r="BL64" i="18"/>
  <c r="BS6" i="20" l="1"/>
  <c r="BS12" i="20" s="1"/>
  <c r="BL71" i="2"/>
  <c r="BL73" i="2" s="1"/>
  <c r="BL62" i="2"/>
  <c r="BN71" i="2"/>
  <c r="BN73" i="2" s="1"/>
  <c r="BP71" i="2"/>
  <c r="BP73" i="2" s="1"/>
  <c r="T46" i="20"/>
  <c r="AT46" i="20"/>
  <c r="AT35" i="20"/>
  <c r="BQ35" i="20" s="1"/>
  <c r="BQ47" i="20" s="1"/>
  <c r="BO71" i="2"/>
  <c r="BO73" i="2" s="1"/>
  <c r="BM71" i="2"/>
  <c r="BM73" i="2" s="1"/>
  <c r="BM62" i="2"/>
  <c r="BK62" i="2"/>
  <c r="BP62" i="2"/>
  <c r="BN62" i="2"/>
  <c r="BS55" i="2"/>
  <c r="BV55" i="2" s="1"/>
  <c r="BK71" i="2"/>
  <c r="BK73" i="2" s="1"/>
  <c r="AX30" i="20"/>
  <c r="AX29" i="20"/>
  <c r="AX27" i="20"/>
  <c r="AX28" i="20" s="1"/>
  <c r="AX48" i="20"/>
  <c r="V43" i="20"/>
  <c r="V33" i="20"/>
  <c r="AP37" i="20"/>
  <c r="AP47" i="20"/>
  <c r="AW33" i="20"/>
  <c r="BK79" i="20"/>
  <c r="BK78" i="20"/>
  <c r="BK28" i="20"/>
  <c r="BK45" i="20"/>
  <c r="BK44" i="20"/>
  <c r="AJ39" i="20"/>
  <c r="AJ48" i="20"/>
  <c r="BS10" i="20"/>
  <c r="BN46" i="20"/>
  <c r="BN35" i="20"/>
  <c r="AO39" i="20"/>
  <c r="AO48" i="20"/>
  <c r="BM35" i="20"/>
  <c r="BM46" i="20"/>
  <c r="AH37" i="20"/>
  <c r="AH47" i="20"/>
  <c r="AF48" i="20"/>
  <c r="AF39" i="20"/>
  <c r="BU5" i="20"/>
  <c r="BO37" i="20"/>
  <c r="BO39" i="20" s="1"/>
  <c r="BO47" i="20"/>
  <c r="S47" i="20"/>
  <c r="S37" i="20"/>
  <c r="AK48" i="20"/>
  <c r="AK39" i="20"/>
  <c r="AR47" i="20"/>
  <c r="AR37" i="20"/>
  <c r="BS13" i="20"/>
  <c r="BP46" i="20"/>
  <c r="BP35" i="20"/>
  <c r="Y48" i="20"/>
  <c r="Y39" i="20"/>
  <c r="AE81" i="20"/>
  <c r="AE82" i="20"/>
  <c r="AE41" i="20"/>
  <c r="AE84" i="20"/>
  <c r="AA48" i="20"/>
  <c r="AA39" i="20"/>
  <c r="BT6" i="20"/>
  <c r="BT13" i="20" s="1"/>
  <c r="BU4" i="20"/>
  <c r="AM48" i="20"/>
  <c r="AM39" i="20"/>
  <c r="W48" i="20"/>
  <c r="W39" i="20"/>
  <c r="AD48" i="20"/>
  <c r="AD39" i="20"/>
  <c r="BL46" i="20"/>
  <c r="BL35" i="20"/>
  <c r="T47" i="20"/>
  <c r="T37" i="20"/>
  <c r="AG48" i="20"/>
  <c r="AG39" i="20"/>
  <c r="AL37" i="20"/>
  <c r="AL47" i="20"/>
  <c r="X48" i="20"/>
  <c r="X39" i="20"/>
  <c r="AN48" i="20"/>
  <c r="AN39" i="20"/>
  <c r="AB48" i="20"/>
  <c r="AB39" i="20"/>
  <c r="AQ47" i="20"/>
  <c r="AQ37" i="20"/>
  <c r="Z48" i="20"/>
  <c r="Z39" i="20"/>
  <c r="AI84" i="20"/>
  <c r="AI82" i="20"/>
  <c r="AI81" i="20"/>
  <c r="AI41" i="20"/>
  <c r="BO62" i="2"/>
  <c r="BQ85" i="18"/>
  <c r="BH87" i="18"/>
  <c r="BH89" i="18" s="1"/>
  <c r="BI87" i="18"/>
  <c r="BI89" i="18" s="1"/>
  <c r="BJ87" i="18"/>
  <c r="BJ89" i="18" s="1"/>
  <c r="BK87" i="18"/>
  <c r="BK89" i="18"/>
  <c r="BP86" i="18"/>
  <c r="BN85" i="18"/>
  <c r="BO86" i="18"/>
  <c r="BL73" i="18"/>
  <c r="BN86" i="18"/>
  <c r="BN73" i="18"/>
  <c r="BM73" i="18"/>
  <c r="BO73" i="18"/>
  <c r="BM86" i="18"/>
  <c r="BP73" i="18"/>
  <c r="BQ73" i="18"/>
  <c r="BS26" i="20" l="1"/>
  <c r="AT37" i="20"/>
  <c r="BQ37" i="20" s="1"/>
  <c r="AT47" i="20"/>
  <c r="AX33" i="20"/>
  <c r="AX46" i="20" s="1"/>
  <c r="BK43" i="20"/>
  <c r="BK33" i="20"/>
  <c r="AR39" i="20"/>
  <c r="AR48" i="20"/>
  <c r="BV5" i="20"/>
  <c r="BS29" i="20"/>
  <c r="BS30" i="20"/>
  <c r="BS27" i="20"/>
  <c r="BS28" i="20" s="1"/>
  <c r="Z84" i="20"/>
  <c r="Z82" i="20"/>
  <c r="Z81" i="20"/>
  <c r="Z41" i="20"/>
  <c r="BL37" i="20"/>
  <c r="BL39" i="20" s="1"/>
  <c r="BL47" i="20"/>
  <c r="AD81" i="20"/>
  <c r="AD82" i="20"/>
  <c r="AD84" i="20"/>
  <c r="AD41" i="20"/>
  <c r="BV4" i="20"/>
  <c r="BU6" i="20"/>
  <c r="BU13" i="20" s="1"/>
  <c r="AK82" i="20"/>
  <c r="AK81" i="20"/>
  <c r="AK84" i="20"/>
  <c r="AK41" i="20"/>
  <c r="AF84" i="20"/>
  <c r="AF82" i="20"/>
  <c r="AF81" i="20"/>
  <c r="AF41" i="20"/>
  <c r="AM81" i="20"/>
  <c r="AM82" i="20"/>
  <c r="AM84" i="20"/>
  <c r="AM41" i="20"/>
  <c r="BN37" i="20"/>
  <c r="BN39" i="20" s="1"/>
  <c r="BN47" i="20"/>
  <c r="X84" i="20"/>
  <c r="X82" i="20"/>
  <c r="X41" i="20"/>
  <c r="X81" i="20"/>
  <c r="AW46" i="20"/>
  <c r="BT10" i="20"/>
  <c r="BT26" i="20"/>
  <c r="Y84" i="20"/>
  <c r="Y82" i="20"/>
  <c r="Y41" i="20"/>
  <c r="Y81" i="20"/>
  <c r="BM37" i="20"/>
  <c r="BM39" i="20" s="1"/>
  <c r="BM47" i="20"/>
  <c r="AJ84" i="20"/>
  <c r="AJ82" i="20"/>
  <c r="AJ81" i="20"/>
  <c r="AJ41" i="20"/>
  <c r="AP48" i="20"/>
  <c r="AP39" i="20"/>
  <c r="AN84" i="20"/>
  <c r="AN82" i="20"/>
  <c r="AN81" i="20"/>
  <c r="AN41" i="20"/>
  <c r="AQ39" i="20"/>
  <c r="AQ48" i="20"/>
  <c r="AB84" i="20"/>
  <c r="AB82" i="20"/>
  <c r="AB81" i="20"/>
  <c r="AB41" i="20"/>
  <c r="AG84" i="20"/>
  <c r="AG82" i="20"/>
  <c r="AG81" i="20"/>
  <c r="AG41" i="20"/>
  <c r="W81" i="20"/>
  <c r="W84" i="20"/>
  <c r="W82" i="20"/>
  <c r="W41" i="20"/>
  <c r="BT12" i="20"/>
  <c r="S39" i="20"/>
  <c r="S48" i="20"/>
  <c r="V46" i="20"/>
  <c r="V35" i="20"/>
  <c r="T39" i="20"/>
  <c r="T48" i="20"/>
  <c r="BO82" i="20"/>
  <c r="BO81" i="20"/>
  <c r="BO41" i="20"/>
  <c r="BO84" i="20"/>
  <c r="BO48" i="20"/>
  <c r="AH48" i="20"/>
  <c r="AH39" i="20"/>
  <c r="AL48" i="20"/>
  <c r="AL39" i="20"/>
  <c r="AA84" i="20"/>
  <c r="AA82" i="20"/>
  <c r="AA81" i="20"/>
  <c r="AA41" i="20"/>
  <c r="BP37" i="20"/>
  <c r="BP39" i="20" s="1"/>
  <c r="BP47" i="20"/>
  <c r="AO84" i="20"/>
  <c r="AO82" i="20"/>
  <c r="AO81" i="20"/>
  <c r="AO41" i="20"/>
  <c r="BP85" i="18"/>
  <c r="BP87" i="18" s="1"/>
  <c r="BM85" i="18"/>
  <c r="BM87" i="18" s="1"/>
  <c r="BM89" i="18" s="1"/>
  <c r="BN87" i="18"/>
  <c r="BQ86" i="18"/>
  <c r="BQ87" i="18" s="1"/>
  <c r="AT39" i="20" l="1"/>
  <c r="BQ39" i="20" s="1"/>
  <c r="AT48" i="20"/>
  <c r="BU12" i="20"/>
  <c r="BS33" i="20"/>
  <c r="BS46" i="20" s="1"/>
  <c r="AR84" i="20"/>
  <c r="AR82" i="20"/>
  <c r="AR81" i="20"/>
  <c r="AR41" i="20"/>
  <c r="S84" i="20"/>
  <c r="S82" i="20"/>
  <c r="S81" i="20"/>
  <c r="S41" i="20"/>
  <c r="BN82" i="20"/>
  <c r="BN84" i="20"/>
  <c r="BN48" i="20"/>
  <c r="BN41" i="20"/>
  <c r="BN81" i="20"/>
  <c r="T84" i="20"/>
  <c r="T82" i="20"/>
  <c r="T81" i="20"/>
  <c r="T41" i="20"/>
  <c r="AP84" i="20"/>
  <c r="AP82" i="20"/>
  <c r="AP81" i="20"/>
  <c r="AP41" i="20"/>
  <c r="BK46" i="20"/>
  <c r="BK35" i="20"/>
  <c r="BT29" i="20"/>
  <c r="BT30" i="20"/>
  <c r="BT27" i="20"/>
  <c r="BT28" i="20" s="1"/>
  <c r="BT33" i="20" s="1"/>
  <c r="BM84" i="20"/>
  <c r="BM81" i="20"/>
  <c r="BM41" i="20"/>
  <c r="BM82" i="20"/>
  <c r="BM48" i="20"/>
  <c r="V37" i="20"/>
  <c r="V47" i="20"/>
  <c r="BW5" i="20"/>
  <c r="AH84" i="20"/>
  <c r="AH82" i="20"/>
  <c r="AH81" i="20"/>
  <c r="AH41" i="20"/>
  <c r="BP82" i="20"/>
  <c r="BP81" i="20"/>
  <c r="BP84" i="20"/>
  <c r="BP48" i="20"/>
  <c r="BP41" i="20"/>
  <c r="BU26" i="20"/>
  <c r="BU10" i="20"/>
  <c r="BL84" i="20"/>
  <c r="BL48" i="20"/>
  <c r="BL81" i="20"/>
  <c r="BL82" i="20"/>
  <c r="BL41" i="20"/>
  <c r="AL81" i="20"/>
  <c r="AL82" i="20"/>
  <c r="AL41" i="20"/>
  <c r="AL84" i="20"/>
  <c r="AQ84" i="20"/>
  <c r="AQ82" i="20"/>
  <c r="AQ81" i="20"/>
  <c r="AQ41" i="20"/>
  <c r="BW4" i="20"/>
  <c r="BV6" i="20"/>
  <c r="BV13" i="20" s="1"/>
  <c r="BX55" i="20"/>
  <c r="BX56" i="20" s="1"/>
  <c r="BR46" i="20"/>
  <c r="BO85" i="18"/>
  <c r="BO87" i="18" s="1"/>
  <c r="BQ82" i="20" l="1"/>
  <c r="BQ81" i="20"/>
  <c r="BQ48" i="20"/>
  <c r="BQ41" i="20"/>
  <c r="AT84" i="20"/>
  <c r="BQ84" i="20" s="1"/>
  <c r="AT82" i="20"/>
  <c r="AT81" i="20"/>
  <c r="AT41" i="20"/>
  <c r="BT46" i="20"/>
  <c r="BU30" i="20"/>
  <c r="BU27" i="20"/>
  <c r="BU28" i="20" s="1"/>
  <c r="BU29" i="20"/>
  <c r="BX5" i="20"/>
  <c r="BR39" i="20"/>
  <c r="BR50" i="20" s="1"/>
  <c r="BV26" i="20"/>
  <c r="BV10" i="20"/>
  <c r="BX4" i="20"/>
  <c r="BW6" i="20"/>
  <c r="BW12" i="20" s="1"/>
  <c r="V48" i="20"/>
  <c r="V39" i="20"/>
  <c r="BV12" i="20"/>
  <c r="BK37" i="20"/>
  <c r="BK39" i="20" s="1"/>
  <c r="BK47" i="20"/>
  <c r="BU33" i="20" l="1"/>
  <c r="AU35" i="20"/>
  <c r="AU37" i="20" s="1"/>
  <c r="AU39" i="20" s="1"/>
  <c r="BR48" i="20"/>
  <c r="BR41" i="20"/>
  <c r="BU46" i="20"/>
  <c r="BX6" i="20"/>
  <c r="BY4" i="20"/>
  <c r="V81" i="20"/>
  <c r="V82" i="20"/>
  <c r="V41" i="20"/>
  <c r="V84" i="20"/>
  <c r="BV27" i="20"/>
  <c r="BV28" i="20" s="1"/>
  <c r="BV29" i="20"/>
  <c r="BV30" i="20"/>
  <c r="BY5" i="20"/>
  <c r="BK81" i="20"/>
  <c r="BK84" i="20"/>
  <c r="BK48" i="20"/>
  <c r="BK82" i="20"/>
  <c r="BK41" i="20"/>
  <c r="BW26" i="20"/>
  <c r="BW10" i="20"/>
  <c r="BW13" i="20"/>
  <c r="AU84" i="20" l="1"/>
  <c r="AU41" i="20"/>
  <c r="AU82" i="20"/>
  <c r="AU48" i="20"/>
  <c r="AU77" i="20"/>
  <c r="AU76" i="20"/>
  <c r="AU75" i="20"/>
  <c r="AV35" i="20"/>
  <c r="AV37" i="20" s="1"/>
  <c r="AV39" i="20" s="1"/>
  <c r="AV84" i="20" s="1"/>
  <c r="BV33" i="20"/>
  <c r="BV46" i="20" s="1"/>
  <c r="BX10" i="20"/>
  <c r="BX26" i="20"/>
  <c r="BZ5" i="20"/>
  <c r="BX12" i="20"/>
  <c r="BX13" i="20"/>
  <c r="BW29" i="20"/>
  <c r="BW30" i="20"/>
  <c r="BW27" i="20"/>
  <c r="BW28" i="20" s="1"/>
  <c r="BS34" i="20"/>
  <c r="BS35" i="20" s="1"/>
  <c r="BY6" i="20"/>
  <c r="BY13" i="20" s="1"/>
  <c r="BZ4" i="20"/>
  <c r="AV41" i="20" l="1"/>
  <c r="AV82" i="20"/>
  <c r="AV48" i="20"/>
  <c r="AV76" i="20"/>
  <c r="AV75" i="20"/>
  <c r="AV77" i="20"/>
  <c r="AU81" i="20"/>
  <c r="AU79" i="20"/>
  <c r="AW50" i="20"/>
  <c r="AW34" i="20"/>
  <c r="AW35" i="20" s="1"/>
  <c r="AW36" i="20" s="1"/>
  <c r="AW37" i="20" s="1"/>
  <c r="BW33" i="20"/>
  <c r="BW46" i="20" s="1"/>
  <c r="CA5" i="20"/>
  <c r="BS36" i="20"/>
  <c r="BS37" i="20" s="1"/>
  <c r="BS39" i="20" s="1"/>
  <c r="BZ6" i="20"/>
  <c r="BZ13" i="20" s="1"/>
  <c r="CA4" i="20"/>
  <c r="BX29" i="20"/>
  <c r="BX30" i="20"/>
  <c r="BX27" i="20"/>
  <c r="BX28" i="20" s="1"/>
  <c r="BY10" i="20"/>
  <c r="BY26" i="20"/>
  <c r="BY12" i="20"/>
  <c r="AV81" i="20" l="1"/>
  <c r="AV79" i="20"/>
  <c r="AX50" i="20"/>
  <c r="AX34" i="20"/>
  <c r="AX35" i="20" s="1"/>
  <c r="AX36" i="20" s="1"/>
  <c r="AX37" i="20" s="1"/>
  <c r="BZ12" i="20"/>
  <c r="BX33" i="20"/>
  <c r="BX46" i="20" s="1"/>
  <c r="BS48" i="20"/>
  <c r="BS41" i="20"/>
  <c r="BS50" i="20"/>
  <c r="BZ26" i="20"/>
  <c r="BZ10" i="20"/>
  <c r="BY30" i="20"/>
  <c r="BY29" i="20"/>
  <c r="BY27" i="20"/>
  <c r="BY28" i="20" s="1"/>
  <c r="CA6" i="20"/>
  <c r="CA12" i="20" s="1"/>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BY33" i="20" l="1"/>
  <c r="BY46" i="20" s="1"/>
  <c r="CA13" i="20"/>
  <c r="BZ29" i="20"/>
  <c r="BZ30" i="20"/>
  <c r="BZ27" i="20"/>
  <c r="BZ28" i="20" s="1"/>
  <c r="BT34" i="20"/>
  <c r="BT35" i="20" s="1"/>
  <c r="CA10" i="20"/>
  <c r="CA26" i="20"/>
  <c r="BZ33" i="20" l="1"/>
  <c r="BZ46" i="20" s="1"/>
  <c r="BT36" i="20"/>
  <c r="BT37" i="20" s="1"/>
  <c r="BT39" i="20" s="1"/>
  <c r="CA29" i="20"/>
  <c r="CA30" i="20"/>
  <c r="CA27" i="20"/>
  <c r="CA28" i="20" s="1"/>
  <c r="CA33" i="20" l="1"/>
  <c r="CA46" i="20" s="1"/>
  <c r="BT48" i="20"/>
  <c r="BT41" i="20"/>
  <c r="BT50" i="20"/>
  <c r="BU34" i="20" l="1"/>
  <c r="BU35" i="20" s="1"/>
  <c r="AX5" i="2"/>
  <c r="AW5" i="2"/>
  <c r="AX4" i="2"/>
  <c r="AW4" i="2"/>
  <c r="BU36" i="20" l="1"/>
  <c r="BU37" i="20" s="1"/>
  <c r="BU39" i="20" s="1"/>
  <c r="AX6" i="2"/>
  <c r="AW6" i="2"/>
  <c r="BU48" i="20" l="1"/>
  <c r="BU41" i="20"/>
  <c r="BU50" i="20"/>
  <c r="AX13" i="2"/>
  <c r="AX26" i="2"/>
  <c r="AW13" i="2"/>
  <c r="AW26" i="2"/>
  <c r="AX12" i="2"/>
  <c r="AW12" i="2"/>
  <c r="AW10" i="2"/>
  <c r="BV34" i="20" l="1"/>
  <c r="BV35" i="20" s="1"/>
  <c r="AX27" i="2"/>
  <c r="AX28" i="2" s="1"/>
  <c r="AX48" i="2"/>
  <c r="AX29" i="2"/>
  <c r="AX30" i="2"/>
  <c r="AW27" i="2"/>
  <c r="AW28" i="2" s="1"/>
  <c r="AW48" i="2"/>
  <c r="AW30" i="2"/>
  <c r="AW29" i="2"/>
  <c r="BV36" i="20" l="1"/>
  <c r="BV37" i="20" s="1"/>
  <c r="BV39" i="20" s="1"/>
  <c r="AW33" i="2"/>
  <c r="AW46" i="2" s="1"/>
  <c r="AX33" i="2"/>
  <c r="AX46" i="2" s="1"/>
  <c r="BV48" i="20" l="1"/>
  <c r="BV41" i="20"/>
  <c r="BV50" i="20"/>
  <c r="BW34" i="20" l="1"/>
  <c r="BW35" i="20" s="1"/>
  <c r="BW36" i="20" l="1"/>
  <c r="BW37" i="20" s="1"/>
  <c r="BW39" i="20" s="1"/>
  <c r="BW48" i="20" l="1"/>
  <c r="BW41" i="20"/>
  <c r="BW50" i="20"/>
  <c r="BX34" i="20" l="1"/>
  <c r="BX35" i="20" s="1"/>
  <c r="BX36" i="20" l="1"/>
  <c r="BX37" i="20" s="1"/>
  <c r="BX39" i="20" s="1"/>
  <c r="BX41" i="20" l="1"/>
  <c r="BX48" i="20"/>
  <c r="BX50" i="20"/>
  <c r="AX10" i="2"/>
  <c r="BY34" i="20" l="1"/>
  <c r="BY35" i="20" s="1"/>
  <c r="BY36" i="20" l="1"/>
  <c r="BY37" i="20" s="1"/>
  <c r="BY39" i="20" s="1"/>
  <c r="BQ61" i="18"/>
  <c r="BP61" i="18"/>
  <c r="BO61" i="18"/>
  <c r="BN61" i="18"/>
  <c r="BM61" i="18"/>
  <c r="BL61" i="18"/>
  <c r="BQ60" i="18"/>
  <c r="BP60" i="18"/>
  <c r="BO60" i="18"/>
  <c r="BN60" i="18"/>
  <c r="BM60" i="18"/>
  <c r="BL60" i="18"/>
  <c r="BQ59" i="18"/>
  <c r="BP59" i="18"/>
  <c r="BO59" i="18"/>
  <c r="BN59" i="18"/>
  <c r="BM59" i="18"/>
  <c r="BL59" i="18"/>
  <c r="BQ58" i="18"/>
  <c r="BP58" i="18"/>
  <c r="BO58" i="18"/>
  <c r="BN58" i="18"/>
  <c r="BM58" i="18"/>
  <c r="BL58" i="18"/>
  <c r="BQ57" i="18"/>
  <c r="BP57" i="18"/>
  <c r="BO57" i="18"/>
  <c r="BN57" i="18"/>
  <c r="BM57" i="18"/>
  <c r="BL57" i="18"/>
  <c r="BQ56" i="18"/>
  <c r="BP56" i="18"/>
  <c r="BO56" i="18"/>
  <c r="BN56" i="18"/>
  <c r="BM56" i="18"/>
  <c r="BL56" i="18"/>
  <c r="BQ55" i="18"/>
  <c r="BP55" i="18"/>
  <c r="BO55" i="18"/>
  <c r="BN55" i="18"/>
  <c r="BM55" i="18"/>
  <c r="BL55" i="18"/>
  <c r="BQ54" i="18"/>
  <c r="BP54" i="18"/>
  <c r="BO54" i="18"/>
  <c r="BN54" i="18"/>
  <c r="BM54" i="18"/>
  <c r="BL54" i="18"/>
  <c r="BQ53" i="18"/>
  <c r="BP53" i="18"/>
  <c r="BO53" i="18"/>
  <c r="BN53" i="18"/>
  <c r="BM53" i="18"/>
  <c r="BL53" i="18"/>
  <c r="BQ52" i="18"/>
  <c r="BP52" i="18"/>
  <c r="BO52" i="18"/>
  <c r="BN52" i="18"/>
  <c r="BM52" i="18"/>
  <c r="BL52" i="18"/>
  <c r="BQ51" i="18"/>
  <c r="BP51" i="18"/>
  <c r="BO51" i="18"/>
  <c r="BN51" i="18"/>
  <c r="BM51" i="18"/>
  <c r="BL51" i="18"/>
  <c r="BQ50" i="18"/>
  <c r="BP50" i="18"/>
  <c r="BO50" i="18"/>
  <c r="BN50" i="18"/>
  <c r="BM50" i="18"/>
  <c r="BL50" i="18"/>
  <c r="BQ40" i="18"/>
  <c r="BP40" i="18"/>
  <c r="BP88" i="18" s="1"/>
  <c r="BP89" i="18" s="1"/>
  <c r="BO40" i="18"/>
  <c r="BO88" i="18" s="1"/>
  <c r="BO89" i="18" s="1"/>
  <c r="BN40" i="18"/>
  <c r="BN88" i="18" s="1"/>
  <c r="BN89" i="18" s="1"/>
  <c r="BK38" i="18"/>
  <c r="BJ38" i="18"/>
  <c r="BI38" i="18"/>
  <c r="BH38" i="18"/>
  <c r="BL38" i="18"/>
  <c r="BK37" i="18"/>
  <c r="BJ37" i="18"/>
  <c r="BI37" i="18"/>
  <c r="BH37" i="18"/>
  <c r="BK36" i="18"/>
  <c r="BJ36" i="18"/>
  <c r="BI36" i="18"/>
  <c r="BH36" i="18"/>
  <c r="BP36" i="18"/>
  <c r="BO36" i="18"/>
  <c r="BN36" i="18"/>
  <c r="BM36" i="18"/>
  <c r="BK34" i="18"/>
  <c r="BJ34" i="18"/>
  <c r="BI34" i="18"/>
  <c r="BH34" i="18"/>
  <c r="BQ34" i="18"/>
  <c r="BP34" i="18"/>
  <c r="BK32" i="18"/>
  <c r="BJ32" i="18"/>
  <c r="BQ32" i="18"/>
  <c r="BP32" i="18"/>
  <c r="BO32" i="18"/>
  <c r="BN32" i="18"/>
  <c r="BM32" i="18"/>
  <c r="BL32" i="18"/>
  <c r="BI32" i="18"/>
  <c r="BK31" i="18"/>
  <c r="BJ31" i="18"/>
  <c r="BI31" i="18"/>
  <c r="BH31" i="18"/>
  <c r="BQ31" i="18"/>
  <c r="BP31" i="18"/>
  <c r="BO31" i="18"/>
  <c r="BN31" i="18"/>
  <c r="BM31" i="18"/>
  <c r="BL31" i="18"/>
  <c r="BK30" i="18"/>
  <c r="BJ30" i="18"/>
  <c r="BI30" i="18"/>
  <c r="BH30" i="18"/>
  <c r="BQ30" i="18"/>
  <c r="BP30" i="18"/>
  <c r="BN30" i="18"/>
  <c r="BL30" i="18"/>
  <c r="BK29" i="18"/>
  <c r="BJ29" i="18"/>
  <c r="BI29" i="18"/>
  <c r="BH29" i="18"/>
  <c r="BQ29" i="18"/>
  <c r="BO29" i="18"/>
  <c r="BN29" i="18"/>
  <c r="BM29" i="18"/>
  <c r="BK27" i="18"/>
  <c r="BJ27" i="18"/>
  <c r="BI27" i="18"/>
  <c r="BH27" i="18"/>
  <c r="BK26" i="18"/>
  <c r="BJ26" i="18"/>
  <c r="BI26" i="18"/>
  <c r="BH26" i="18"/>
  <c r="BO16" i="18"/>
  <c r="BN16" i="18"/>
  <c r="BQ16" i="18"/>
  <c r="BO15" i="18"/>
  <c r="BN15" i="18"/>
  <c r="BP15" i="18"/>
  <c r="BM15" i="18"/>
  <c r="BL15" i="18"/>
  <c r="BQ5" i="18"/>
  <c r="BP5" i="18"/>
  <c r="BP4" i="18"/>
  <c r="BP3" i="18"/>
  <c r="BQ3" i="18" s="1"/>
  <c r="BS3" i="18" s="1"/>
  <c r="BT3" i="18" s="1"/>
  <c r="BU3" i="18" s="1"/>
  <c r="BV3" i="18" s="1"/>
  <c r="BW3" i="18" s="1"/>
  <c r="BX3" i="18" s="1"/>
  <c r="BY3" i="18" s="1"/>
  <c r="BZ3" i="18" s="1"/>
  <c r="CA3" i="18" s="1"/>
  <c r="CB3" i="18" s="1"/>
  <c r="CC3" i="18" s="1"/>
  <c r="CD3" i="18" s="1"/>
  <c r="CE3" i="18" s="1"/>
  <c r="CF3" i="18" s="1"/>
  <c r="CG3" i="18" s="1"/>
  <c r="CH3" i="18" s="1"/>
  <c r="CI3" i="18" s="1"/>
  <c r="CJ3" i="18" s="1"/>
  <c r="CK3" i="18" s="1"/>
  <c r="CL3" i="18" s="1"/>
  <c r="CM3" i="18" s="1"/>
  <c r="CN3" i="18" s="1"/>
  <c r="CO3" i="18" s="1"/>
  <c r="CP3" i="18" s="1"/>
  <c r="CQ3" i="18" s="1"/>
  <c r="CR3" i="18" s="1"/>
  <c r="CS3" i="18" s="1"/>
  <c r="CT3" i="18" s="1"/>
  <c r="CU3" i="18" s="1"/>
  <c r="CV3" i="18" s="1"/>
  <c r="CW3" i="18" s="1"/>
  <c r="CX3" i="18" s="1"/>
  <c r="CY3" i="18" s="1"/>
  <c r="CZ3" i="18" s="1"/>
  <c r="DA3" i="18" s="1"/>
  <c r="DB3" i="18" s="1"/>
  <c r="DC3" i="18" s="1"/>
  <c r="DD3" i="18" s="1"/>
  <c r="DE3" i="18" s="1"/>
  <c r="DF3" i="18" s="1"/>
  <c r="DG3" i="18" s="1"/>
  <c r="DH3" i="18" s="1"/>
  <c r="DI3" i="18" s="1"/>
  <c r="DJ3" i="18" s="1"/>
  <c r="DK3" i="18" s="1"/>
  <c r="DL3" i="18" s="1"/>
  <c r="DM3" i="18" s="1"/>
  <c r="DN3" i="18" s="1"/>
  <c r="DO3" i="18" s="1"/>
  <c r="DP3" i="18" s="1"/>
  <c r="BL76" i="18" l="1"/>
  <c r="BL78" i="18"/>
  <c r="BM75" i="18"/>
  <c r="BM77" i="18"/>
  <c r="BN77" i="18"/>
  <c r="BN75" i="18"/>
  <c r="BO77" i="18"/>
  <c r="BO75" i="18"/>
  <c r="BM76" i="18"/>
  <c r="BP77" i="18"/>
  <c r="BP75" i="18"/>
  <c r="BN76" i="18"/>
  <c r="BO76" i="18"/>
  <c r="BP76" i="18"/>
  <c r="BL75" i="18"/>
  <c r="BL77" i="18"/>
  <c r="BY41" i="20"/>
  <c r="BY48" i="20"/>
  <c r="BY50" i="20"/>
  <c r="BS40" i="18"/>
  <c r="BT40" i="18" s="1"/>
  <c r="BU40" i="18" s="1"/>
  <c r="BV40" i="18" s="1"/>
  <c r="BW40" i="18" s="1"/>
  <c r="BX40" i="18" s="1"/>
  <c r="BY40" i="18" s="1"/>
  <c r="BZ40" i="18" s="1"/>
  <c r="CA40" i="18" s="1"/>
  <c r="CB40" i="18" s="1"/>
  <c r="BQ88" i="18"/>
  <c r="BQ89" i="18" s="1"/>
  <c r="BO20" i="18"/>
  <c r="BQ77" i="18"/>
  <c r="BQ76" i="18"/>
  <c r="BQ75" i="18"/>
  <c r="BM26" i="18"/>
  <c r="BN34" i="18"/>
  <c r="BQ62" i="18"/>
  <c r="BM19" i="18"/>
  <c r="BI45" i="18"/>
  <c r="BK44" i="18"/>
  <c r="BJ45" i="18"/>
  <c r="BH45" i="18"/>
  <c r="BO19" i="18"/>
  <c r="BO34" i="18"/>
  <c r="BP27" i="18"/>
  <c r="BP80" i="18" s="1"/>
  <c r="BQ27" i="18"/>
  <c r="BQ80" i="18" s="1"/>
  <c r="BM34" i="18"/>
  <c r="BK28" i="18"/>
  <c r="BK43" i="18" s="1"/>
  <c r="BM16" i="18"/>
  <c r="BN20" i="18" s="1"/>
  <c r="BL27" i="18"/>
  <c r="BL80" i="18" s="1"/>
  <c r="BQ4" i="18"/>
  <c r="BT4" i="18" s="1"/>
  <c r="BQ26" i="18"/>
  <c r="BN19" i="18"/>
  <c r="BH44" i="18"/>
  <c r="BH28" i="18"/>
  <c r="BH43" i="18" s="1"/>
  <c r="BI44" i="18"/>
  <c r="BO30" i="18"/>
  <c r="BP19" i="18"/>
  <c r="BN17" i="18"/>
  <c r="BQ9" i="18"/>
  <c r="BH32" i="18"/>
  <c r="BP6" i="18"/>
  <c r="BT5" i="18"/>
  <c r="BN26" i="18"/>
  <c r="BP29" i="18"/>
  <c r="BP16" i="18"/>
  <c r="BQ15" i="18"/>
  <c r="BL36" i="18"/>
  <c r="BN62" i="18"/>
  <c r="BO26" i="18"/>
  <c r="BM27" i="18"/>
  <c r="BM80" i="18" s="1"/>
  <c r="BL29" i="18"/>
  <c r="BJ44" i="18"/>
  <c r="BP26" i="18"/>
  <c r="BN27" i="18"/>
  <c r="BN80" i="18" s="1"/>
  <c r="BI28" i="18"/>
  <c r="BI43" i="18" s="1"/>
  <c r="BM30" i="18"/>
  <c r="BM45" i="18" s="1"/>
  <c r="BK45" i="18"/>
  <c r="BO27" i="18"/>
  <c r="BO80" i="18" s="1"/>
  <c r="BJ28" i="18"/>
  <c r="BJ43" i="18" s="1"/>
  <c r="BL34" i="18"/>
  <c r="BQ36" i="18"/>
  <c r="BH39" i="18"/>
  <c r="BH84" i="18" s="1"/>
  <c r="BO62" i="18"/>
  <c r="BQ45" i="18"/>
  <c r="BI39" i="18"/>
  <c r="BI84" i="18" s="1"/>
  <c r="BJ39" i="18"/>
  <c r="BJ84" i="18" s="1"/>
  <c r="BP62" i="18"/>
  <c r="BK39" i="18"/>
  <c r="BK84" i="18" s="1"/>
  <c r="BM62" i="18"/>
  <c r="BL62" i="18"/>
  <c r="BQ79" i="18" l="1"/>
  <c r="BP78" i="18"/>
  <c r="BO79" i="18"/>
  <c r="BN79" i="18"/>
  <c r="BO78" i="18"/>
  <c r="BP79" i="18"/>
  <c r="BM79" i="18"/>
  <c r="BN78" i="18"/>
  <c r="BZ34" i="20"/>
  <c r="BZ35" i="20" s="1"/>
  <c r="BQ78" i="18"/>
  <c r="BQ28" i="18"/>
  <c r="BQ43" i="18" s="1"/>
  <c r="BM44" i="18"/>
  <c r="BP45" i="18"/>
  <c r="BN45" i="18"/>
  <c r="BO17" i="18"/>
  <c r="BO23" i="18" s="1"/>
  <c r="BQ8" i="18"/>
  <c r="BP13" i="18"/>
  <c r="BP12" i="18"/>
  <c r="BN44" i="18"/>
  <c r="BQ13" i="18"/>
  <c r="BQ17" i="18"/>
  <c r="BQ23" i="18" s="1"/>
  <c r="BQ12" i="18"/>
  <c r="BS13" i="18"/>
  <c r="BQ6" i="18"/>
  <c r="BQ10" i="18" s="1"/>
  <c r="BM17" i="18"/>
  <c r="BN21" i="18" s="1"/>
  <c r="BQ44" i="18"/>
  <c r="BU5" i="18"/>
  <c r="BN24" i="18"/>
  <c r="BN23" i="18"/>
  <c r="BJ41" i="18"/>
  <c r="BJ48" i="18"/>
  <c r="BI48" i="18"/>
  <c r="BI41" i="18"/>
  <c r="BK41" i="18"/>
  <c r="BK48" i="18"/>
  <c r="BH48" i="18"/>
  <c r="BH41" i="18"/>
  <c r="BL16" i="18"/>
  <c r="BH33" i="18"/>
  <c r="BH46" i="18" s="1"/>
  <c r="BP20" i="18"/>
  <c r="BQ20" i="18"/>
  <c r="BK33" i="18"/>
  <c r="BK46" i="18" s="1"/>
  <c r="BP44" i="18"/>
  <c r="BO28" i="18"/>
  <c r="BM28" i="18"/>
  <c r="BQ19" i="18"/>
  <c r="BJ33" i="18"/>
  <c r="BJ46" i="18" s="1"/>
  <c r="BP17" i="18"/>
  <c r="BP24" i="18" s="1"/>
  <c r="BO45" i="18"/>
  <c r="BI33" i="18"/>
  <c r="BI46" i="18" s="1"/>
  <c r="BT6" i="18"/>
  <c r="BT12" i="18" s="1"/>
  <c r="BU4" i="18"/>
  <c r="BN28" i="18"/>
  <c r="BP28" i="18"/>
  <c r="BO44" i="18"/>
  <c r="BQ33" i="18" l="1"/>
  <c r="BZ36" i="20"/>
  <c r="BZ37" i="20" s="1"/>
  <c r="BZ39" i="20" s="1"/>
  <c r="BS26" i="18"/>
  <c r="BS30" i="18" s="1"/>
  <c r="BQ24" i="18"/>
  <c r="BO21" i="18"/>
  <c r="BO24" i="18"/>
  <c r="BJ35" i="18"/>
  <c r="BJ47" i="18" s="1"/>
  <c r="BK35" i="18"/>
  <c r="BK47" i="18" s="1"/>
  <c r="BM24" i="18"/>
  <c r="BM23" i="18"/>
  <c r="BS12" i="18"/>
  <c r="BO43" i="18"/>
  <c r="BO33" i="18"/>
  <c r="BM20" i="18"/>
  <c r="BP21" i="18"/>
  <c r="BP23" i="18"/>
  <c r="BQ21" i="18"/>
  <c r="BQ46" i="18"/>
  <c r="BQ35" i="18"/>
  <c r="BP43" i="18"/>
  <c r="BP33" i="18"/>
  <c r="BM43" i="18"/>
  <c r="BM33" i="18"/>
  <c r="BT10" i="18"/>
  <c r="BT26" i="18"/>
  <c r="BI35" i="18"/>
  <c r="BI47" i="18" s="1"/>
  <c r="BV5" i="18"/>
  <c r="BN43" i="18"/>
  <c r="BN33" i="18"/>
  <c r="BU6" i="18"/>
  <c r="BV4" i="18"/>
  <c r="BH35" i="18"/>
  <c r="BH47" i="18" s="1"/>
  <c r="BT13" i="18"/>
  <c r="BL17" i="18"/>
  <c r="BL24" i="18" s="1"/>
  <c r="BS27" i="18" l="1"/>
  <c r="BS28" i="18" s="1"/>
  <c r="BZ48" i="20"/>
  <c r="BZ41" i="20"/>
  <c r="BZ50" i="20"/>
  <c r="BS29" i="18"/>
  <c r="BN35" i="18"/>
  <c r="BN46" i="18"/>
  <c r="BM46" i="18"/>
  <c r="BM35" i="18"/>
  <c r="BU10" i="18"/>
  <c r="BU26" i="18"/>
  <c r="BU12" i="18"/>
  <c r="BU13" i="18"/>
  <c r="BP46" i="18"/>
  <c r="BP35" i="18"/>
  <c r="BL26" i="18"/>
  <c r="BO35" i="18"/>
  <c r="BO46" i="18"/>
  <c r="BL23" i="18"/>
  <c r="BM21" i="18"/>
  <c r="BQ37" i="18"/>
  <c r="BQ39" i="18" s="1"/>
  <c r="BQ47" i="18"/>
  <c r="BT29" i="18"/>
  <c r="BT27" i="18"/>
  <c r="BT28" i="18" s="1"/>
  <c r="BT30" i="18"/>
  <c r="BW4" i="18"/>
  <c r="BV6" i="18"/>
  <c r="BV12" i="18" s="1"/>
  <c r="BW5" i="18"/>
  <c r="BS33" i="18" l="1"/>
  <c r="BY55" i="18" s="1"/>
  <c r="BY56" i="18" s="1"/>
  <c r="BM78" i="18"/>
  <c r="BL79" i="18"/>
  <c r="CA34" i="20"/>
  <c r="CA35" i="20" s="1"/>
  <c r="BQ82" i="18"/>
  <c r="BQ84" i="18"/>
  <c r="BQ81" i="18"/>
  <c r="BV13" i="18"/>
  <c r="BQ48" i="18"/>
  <c r="BQ41" i="18"/>
  <c r="BX5" i="18"/>
  <c r="BU29" i="18"/>
  <c r="BU27" i="18"/>
  <c r="BU28" i="18" s="1"/>
  <c r="BU30" i="18"/>
  <c r="BX4" i="18"/>
  <c r="BW6" i="18"/>
  <c r="BN37" i="18"/>
  <c r="BN39" i="18" s="1"/>
  <c r="BN47" i="18"/>
  <c r="BV10" i="18"/>
  <c r="BV26" i="18"/>
  <c r="BP37" i="18"/>
  <c r="BP39" i="18" s="1"/>
  <c r="BP47" i="18"/>
  <c r="BM37" i="18"/>
  <c r="BM39" i="18" s="1"/>
  <c r="BM47" i="18"/>
  <c r="BO37" i="18"/>
  <c r="BO39" i="18" s="1"/>
  <c r="BO47" i="18"/>
  <c r="BT33" i="18"/>
  <c r="BL28" i="18"/>
  <c r="BL45" i="18"/>
  <c r="BL44" i="18"/>
  <c r="BS46" i="18" l="1"/>
  <c r="BS35" i="18"/>
  <c r="BS36" i="18" s="1"/>
  <c r="BS37" i="18" s="1"/>
  <c r="BS39" i="18" s="1"/>
  <c r="BS50" i="18" s="1"/>
  <c r="BT34" i="18" s="1"/>
  <c r="BO82" i="18"/>
  <c r="BO81" i="18"/>
  <c r="BN82" i="18"/>
  <c r="BN81" i="18"/>
  <c r="BP81" i="18"/>
  <c r="BP82" i="18"/>
  <c r="BM82" i="18"/>
  <c r="BM81" i="18"/>
  <c r="CA36" i="20"/>
  <c r="CA37" i="20" s="1"/>
  <c r="CA39" i="20" s="1"/>
  <c r="BP84" i="18"/>
  <c r="BO84" i="18"/>
  <c r="BN84" i="18"/>
  <c r="BM84" i="18"/>
  <c r="BU33" i="18"/>
  <c r="BU46" i="18" s="1"/>
  <c r="BV30" i="18"/>
  <c r="BV29" i="18"/>
  <c r="BV27" i="18"/>
  <c r="BV28" i="18" s="1"/>
  <c r="BW10" i="18"/>
  <c r="BW26" i="18"/>
  <c r="BN48" i="18"/>
  <c r="BN41" i="18"/>
  <c r="BO48" i="18"/>
  <c r="BO41" i="18"/>
  <c r="BM41" i="18"/>
  <c r="BM48" i="18"/>
  <c r="BW12" i="18"/>
  <c r="BT46" i="18"/>
  <c r="BY4" i="18"/>
  <c r="BX6" i="18"/>
  <c r="BX13" i="18" s="1"/>
  <c r="BL43" i="18"/>
  <c r="BL33" i="18"/>
  <c r="BP48" i="18"/>
  <c r="BP41" i="18"/>
  <c r="BY5" i="18"/>
  <c r="BW13" i="18"/>
  <c r="BS48" i="18" l="1"/>
  <c r="BS41" i="18"/>
  <c r="CA48" i="20"/>
  <c r="CB39" i="20"/>
  <c r="CC39" i="20" s="1"/>
  <c r="CD39" i="20" s="1"/>
  <c r="CE39" i="20" s="1"/>
  <c r="CF39" i="20" s="1"/>
  <c r="CG39" i="20" s="1"/>
  <c r="CH39" i="20" s="1"/>
  <c r="CI39" i="20" s="1"/>
  <c r="CJ39" i="20" s="1"/>
  <c r="CK39" i="20" s="1"/>
  <c r="CL39" i="20" s="1"/>
  <c r="CM39" i="20" s="1"/>
  <c r="CN39" i="20" s="1"/>
  <c r="CO39" i="20" s="1"/>
  <c r="CP39" i="20" s="1"/>
  <c r="CQ39" i="20" s="1"/>
  <c r="CR39" i="20" s="1"/>
  <c r="CS39" i="20" s="1"/>
  <c r="CT39" i="20" s="1"/>
  <c r="CU39" i="20" s="1"/>
  <c r="CV39" i="20" s="1"/>
  <c r="CW39" i="20" s="1"/>
  <c r="CX39" i="20" s="1"/>
  <c r="CY39" i="20" s="1"/>
  <c r="CZ39" i="20" s="1"/>
  <c r="DA39" i="20" s="1"/>
  <c r="DB39" i="20" s="1"/>
  <c r="DC39" i="20" s="1"/>
  <c r="DD39" i="20" s="1"/>
  <c r="DE39" i="20" s="1"/>
  <c r="DF39" i="20" s="1"/>
  <c r="DG39" i="20" s="1"/>
  <c r="DH39" i="20" s="1"/>
  <c r="DI39" i="20" s="1"/>
  <c r="DJ39" i="20" s="1"/>
  <c r="DK39" i="20" s="1"/>
  <c r="DL39" i="20" s="1"/>
  <c r="DM39" i="20" s="1"/>
  <c r="DN39" i="20" s="1"/>
  <c r="DO39" i="20" s="1"/>
  <c r="CA60" i="20" s="1"/>
  <c r="CA62" i="20" s="1"/>
  <c r="CA41" i="20"/>
  <c r="CA50" i="20"/>
  <c r="BX12" i="18"/>
  <c r="BV33" i="18"/>
  <c r="BV46" i="18" s="1"/>
  <c r="BL46" i="18"/>
  <c r="BL35" i="18"/>
  <c r="BZ5" i="18"/>
  <c r="BX26" i="18"/>
  <c r="BX10" i="18"/>
  <c r="BT35" i="18"/>
  <c r="BY6" i="18"/>
  <c r="BY13" i="18" s="1"/>
  <c r="BZ4" i="18"/>
  <c r="BW29" i="18"/>
  <c r="BW27" i="18"/>
  <c r="BW28" i="18" s="1"/>
  <c r="BW30" i="18"/>
  <c r="BL88" i="2"/>
  <c r="BK88" i="2"/>
  <c r="BI88" i="2"/>
  <c r="BH88" i="2"/>
  <c r="BG88" i="2"/>
  <c r="BJ88" i="2"/>
  <c r="BJ86" i="2"/>
  <c r="BI86" i="2"/>
  <c r="BH86" i="2"/>
  <c r="BG86" i="2"/>
  <c r="BJ85" i="2"/>
  <c r="BI85" i="2"/>
  <c r="BH85" i="2"/>
  <c r="BG85" i="2"/>
  <c r="CA64" i="20" l="1"/>
  <c r="BZ65" i="20" s="1" a="1"/>
  <c r="BW33" i="18"/>
  <c r="BW46" i="18" s="1"/>
  <c r="BT36" i="18"/>
  <c r="BT37" i="18" s="1"/>
  <c r="BT39" i="18" s="1"/>
  <c r="BL37" i="18"/>
  <c r="BL39" i="18" s="1"/>
  <c r="BL47" i="18"/>
  <c r="BX29" i="18"/>
  <c r="BX27" i="18"/>
  <c r="BX28" i="18" s="1"/>
  <c r="BX30" i="18"/>
  <c r="BZ6" i="18"/>
  <c r="BZ13" i="18" s="1"/>
  <c r="CA4" i="18"/>
  <c r="BY26" i="18"/>
  <c r="BY10" i="18"/>
  <c r="BY12" i="18"/>
  <c r="CA5" i="18"/>
  <c r="BJ87" i="2"/>
  <c r="BJ89" i="2" s="1"/>
  <c r="BG87" i="2"/>
  <c r="BG89" i="2" s="1"/>
  <c r="BI87" i="2"/>
  <c r="BI89" i="2" s="1"/>
  <c r="BH87" i="2"/>
  <c r="BH89" i="2" s="1"/>
  <c r="CB64" i="20" l="1"/>
  <c r="BL81" i="18"/>
  <c r="BL82" i="18"/>
  <c r="BL84" i="18"/>
  <c r="BZ12" i="18"/>
  <c r="BX33" i="18"/>
  <c r="BX46" i="18" s="1"/>
  <c r="CB5" i="18"/>
  <c r="BZ26" i="18"/>
  <c r="BZ10" i="18"/>
  <c r="BT41" i="18"/>
  <c r="BT48" i="18"/>
  <c r="BT50" i="18"/>
  <c r="BU34" i="18" s="1"/>
  <c r="BY29" i="18"/>
  <c r="BY27" i="18"/>
  <c r="BY28" i="18" s="1"/>
  <c r="BY30" i="18"/>
  <c r="CA6" i="18"/>
  <c r="CA12" i="18" s="1"/>
  <c r="CB4" i="18"/>
  <c r="BL48" i="18"/>
  <c r="BL41" i="18"/>
  <c r="BY33" i="18" l="1"/>
  <c r="BY46" i="18" s="1"/>
  <c r="BZ30" i="18"/>
  <c r="BZ29" i="18"/>
  <c r="BZ27" i="18"/>
  <c r="BZ28" i="18" s="1"/>
  <c r="CB6" i="18"/>
  <c r="CB12" i="18" s="1"/>
  <c r="CA26" i="18"/>
  <c r="CA10" i="18"/>
  <c r="CA13" i="18"/>
  <c r="BU35" i="18"/>
  <c r="BJ38" i="2"/>
  <c r="BJ37" i="2"/>
  <c r="BJ36" i="2"/>
  <c r="BJ34" i="2"/>
  <c r="BJ32" i="2"/>
  <c r="BJ31" i="2"/>
  <c r="BJ30" i="2"/>
  <c r="BJ29" i="2"/>
  <c r="BJ27" i="2"/>
  <c r="BJ26" i="2"/>
  <c r="BI38" i="2"/>
  <c r="BI37" i="2"/>
  <c r="BI36" i="2"/>
  <c r="BI34" i="2"/>
  <c r="BI32" i="2"/>
  <c r="BI31" i="2"/>
  <c r="BI30" i="2"/>
  <c r="BI29" i="2"/>
  <c r="BI27" i="2"/>
  <c r="BI26" i="2"/>
  <c r="BH38" i="2"/>
  <c r="BH37" i="2"/>
  <c r="BH36" i="2"/>
  <c r="BH34" i="2"/>
  <c r="BH31" i="2"/>
  <c r="BH30" i="2"/>
  <c r="BH29" i="2"/>
  <c r="BH27" i="2"/>
  <c r="BH26" i="2"/>
  <c r="BG38" i="2"/>
  <c r="BG37" i="2"/>
  <c r="BG36" i="2"/>
  <c r="BG34" i="2"/>
  <c r="BG31" i="2"/>
  <c r="BG30" i="2"/>
  <c r="BG29" i="2"/>
  <c r="BG27" i="2"/>
  <c r="BG26" i="2"/>
  <c r="BH32" i="2"/>
  <c r="BI45" i="2" l="1"/>
  <c r="BZ33" i="18"/>
  <c r="BZ46" i="18" s="1"/>
  <c r="CB10" i="18"/>
  <c r="CB26" i="18"/>
  <c r="CA30" i="18"/>
  <c r="CA29" i="18"/>
  <c r="CA27" i="18"/>
  <c r="CA28" i="18" s="1"/>
  <c r="BU36" i="18"/>
  <c r="BU37" i="18" s="1"/>
  <c r="BU39" i="18" s="1"/>
  <c r="CB13" i="18"/>
  <c r="BH45" i="2"/>
  <c r="BJ45" i="2"/>
  <c r="BH44" i="2"/>
  <c r="BG44" i="2"/>
  <c r="BI44" i="2"/>
  <c r="BG32" i="2"/>
  <c r="BG45" i="2"/>
  <c r="BJ44" i="2"/>
  <c r="BH39" i="2"/>
  <c r="BJ39" i="2"/>
  <c r="BI39" i="2"/>
  <c r="BG39" i="2"/>
  <c r="BH84" i="2" l="1"/>
  <c r="CA33" i="18"/>
  <c r="CA46" i="18" s="1"/>
  <c r="CB29" i="18"/>
  <c r="CB30" i="18"/>
  <c r="CB27" i="18"/>
  <c r="CB28" i="18" s="1"/>
  <c r="BU48" i="18"/>
  <c r="BU41" i="18"/>
  <c r="BU50" i="18"/>
  <c r="BV34" i="18" s="1"/>
  <c r="BG84" i="2"/>
  <c r="BI84" i="2"/>
  <c r="BJ84" i="2"/>
  <c r="BG41" i="2"/>
  <c r="BG48" i="2"/>
  <c r="BI41" i="2"/>
  <c r="BI48" i="2"/>
  <c r="BH41" i="2"/>
  <c r="BH48" i="2"/>
  <c r="BJ48" i="2"/>
  <c r="BJ41" i="2"/>
  <c r="CB33" i="18" l="1"/>
  <c r="CB46" i="18" s="1"/>
  <c r="BV35" i="18"/>
  <c r="BG28" i="2"/>
  <c r="BG43" i="2" s="1"/>
  <c r="BI28" i="2"/>
  <c r="BI43" i="2" s="1"/>
  <c r="BH28" i="2"/>
  <c r="BH43" i="2" s="1"/>
  <c r="BJ28" i="2"/>
  <c r="BJ43" i="2" s="1"/>
  <c r="U247" i="3"/>
  <c r="U248" i="3" s="1"/>
  <c r="U249" i="3" s="1"/>
  <c r="U250" i="3" s="1"/>
  <c r="U251" i="3" s="1"/>
  <c r="U252" i="3" s="1"/>
  <c r="U253" i="3" s="1"/>
  <c r="U254" i="3" s="1"/>
  <c r="U255" i="3" s="1"/>
  <c r="U256" i="3" s="1"/>
  <c r="U257" i="3" s="1"/>
  <c r="U258" i="3" s="1"/>
  <c r="U259" i="3" s="1"/>
  <c r="U260" i="3" s="1"/>
  <c r="U261" i="3" s="1"/>
  <c r="U262" i="3" s="1"/>
  <c r="U263" i="3" s="1"/>
  <c r="U264" i="3" s="1"/>
  <c r="U265" i="3" s="1"/>
  <c r="U266" i="3" s="1"/>
  <c r="U267" i="3" s="1"/>
  <c r="U268" i="3" s="1"/>
  <c r="U269" i="3" s="1"/>
  <c r="U270" i="3" s="1"/>
  <c r="U271" i="3" s="1"/>
  <c r="U272" i="3" s="1"/>
  <c r="U273" i="3" s="1"/>
  <c r="U274" i="3" s="1"/>
  <c r="U275" i="3" s="1"/>
  <c r="U276" i="3" s="1"/>
  <c r="U277" i="3" s="1"/>
  <c r="U278" i="3" s="1"/>
  <c r="U279" i="3" s="1"/>
  <c r="U280" i="3" s="1"/>
  <c r="U281" i="3" s="1"/>
  <c r="U282" i="3" s="1"/>
  <c r="U283" i="3" s="1"/>
  <c r="U284" i="3" s="1"/>
  <c r="U285" i="3" s="1"/>
  <c r="U286" i="3" s="1"/>
  <c r="U287" i="3" s="1"/>
  <c r="U288" i="3" s="1"/>
  <c r="U289" i="3" s="1"/>
  <c r="U290" i="3" s="1"/>
  <c r="U291" i="3" s="1"/>
  <c r="U292" i="3" s="1"/>
  <c r="U293" i="3" s="1"/>
  <c r="U294" i="3" s="1"/>
  <c r="U295" i="3" s="1"/>
  <c r="U296" i="3" s="1"/>
  <c r="U297" i="3" s="1"/>
  <c r="U298" i="3" s="1"/>
  <c r="U299" i="3" s="1"/>
  <c r="U300" i="3" s="1"/>
  <c r="U301" i="3" s="1"/>
  <c r="U302" i="3" s="1"/>
  <c r="U303" i="3" s="1"/>
  <c r="U304" i="3" s="1"/>
  <c r="U305" i="3" s="1"/>
  <c r="U306" i="3" s="1"/>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T238" i="3" l="1"/>
  <c r="T239" i="3" s="1"/>
  <c r="T237" i="3"/>
  <c r="T240" i="3"/>
  <c r="T234" i="3"/>
  <c r="T235" i="3"/>
  <c r="T236" i="3"/>
  <c r="BV36" i="18"/>
  <c r="BV37" i="18" s="1"/>
  <c r="BV39" i="18" s="1"/>
  <c r="BI33" i="2"/>
  <c r="BI46" i="2" s="1"/>
  <c r="BG33" i="2"/>
  <c r="BG46" i="2" s="1"/>
  <c r="BJ33" i="2"/>
  <c r="BJ46" i="2" s="1"/>
  <c r="BH33" i="2"/>
  <c r="BH46" i="2" s="1"/>
  <c r="BV65" i="2" l="1"/>
  <c r="BV67" i="2" s="1"/>
  <c r="CA57" i="2"/>
  <c r="CA58" i="2" s="1"/>
  <c r="CB57" i="18"/>
  <c r="CB58" i="18" s="1"/>
  <c r="BW65" i="18"/>
  <c r="BW67" i="18" s="1"/>
  <c r="BV41" i="18"/>
  <c r="BV48" i="18"/>
  <c r="BV50" i="18"/>
  <c r="BW34" i="18" s="1"/>
  <c r="BJ35" i="2"/>
  <c r="BJ47" i="2" s="1"/>
  <c r="BH35" i="2"/>
  <c r="BH47" i="2" s="1"/>
  <c r="BG35" i="2"/>
  <c r="BG47" i="2" s="1"/>
  <c r="BI35" i="2"/>
  <c r="BI47" i="2" s="1"/>
  <c r="V307" i="3"/>
  <c r="V284" i="3"/>
  <c r="V306" i="3"/>
  <c r="V262" i="3"/>
  <c r="V277" i="3"/>
  <c r="V301" i="3"/>
  <c r="V281" i="3"/>
  <c r="V266" i="3"/>
  <c r="V288" i="3"/>
  <c r="V293" i="3"/>
  <c r="V259" i="3"/>
  <c r="V254" i="3"/>
  <c r="V303" i="3"/>
  <c r="V247" i="3"/>
  <c r="V285" i="3"/>
  <c r="V275" i="3"/>
  <c r="V282" i="3"/>
  <c r="V289" i="3"/>
  <c r="V299" i="3"/>
  <c r="V269" i="3"/>
  <c r="V260" i="3"/>
  <c r="V267" i="3"/>
  <c r="V274" i="3"/>
  <c r="V286" i="3"/>
  <c r="V280" i="3"/>
  <c r="V261" i="3"/>
  <c r="V279" i="3"/>
  <c r="V273" i="3"/>
  <c r="V264" i="3"/>
  <c r="V298" i="3"/>
  <c r="V263" i="3"/>
  <c r="V265" i="3"/>
  <c r="V248" i="3"/>
  <c r="V290" i="3"/>
  <c r="V270" i="3"/>
  <c r="V257" i="3"/>
  <c r="V291" i="3"/>
  <c r="V295" i="3"/>
  <c r="V253" i="3"/>
  <c r="V272" i="3"/>
  <c r="V292" i="3"/>
  <c r="V249" i="3"/>
  <c r="V283" i="3"/>
  <c r="V271" i="3"/>
  <c r="V252" i="3"/>
  <c r="V256" i="3"/>
  <c r="V276" i="3"/>
  <c r="Y256" i="3"/>
  <c r="Y257" i="3"/>
  <c r="Y254" i="3"/>
  <c r="Y252" i="3"/>
  <c r="Y245" i="3"/>
  <c r="V246" i="3"/>
  <c r="Y249" i="3"/>
  <c r="V245" i="3"/>
  <c r="Y255" i="3"/>
  <c r="Y258" i="3"/>
  <c r="Y248" i="3"/>
  <c r="Y253" i="3"/>
  <c r="Y247" i="3"/>
  <c r="Y246" i="3"/>
  <c r="Y251" i="3"/>
  <c r="Y250" i="3"/>
  <c r="V251" i="3"/>
  <c r="V294" i="3"/>
  <c r="V300" i="3"/>
  <c r="V258" i="3"/>
  <c r="V255" i="3"/>
  <c r="V305" i="3"/>
  <c r="V304" i="3"/>
  <c r="V296" i="3"/>
  <c r="V278" i="3"/>
  <c r="V268" i="3"/>
  <c r="V250" i="3"/>
  <c r="V302" i="3"/>
  <c r="V297" i="3"/>
  <c r="V287" i="3"/>
  <c r="BW35" i="18" l="1"/>
  <c r="BW36" i="18" l="1"/>
  <c r="BW37" i="18" s="1"/>
  <c r="BW39" i="18" s="1"/>
  <c r="AB263" i="1"/>
  <c r="U263" i="1"/>
  <c r="BW48" i="18" l="1"/>
  <c r="BW41" i="18"/>
  <c r="BW50" i="18"/>
  <c r="BX34" i="18" s="1"/>
  <c r="BP32" i="2"/>
  <c r="BX35" i="18" l="1"/>
  <c r="BX36" i="18" l="1"/>
  <c r="BX37" i="18" s="1"/>
  <c r="BX39" i="18" s="1"/>
  <c r="BX48" i="18" l="1"/>
  <c r="BX41" i="18"/>
  <c r="BX50" i="18"/>
  <c r="BY34" i="18" s="1"/>
  <c r="BY35" i="18" l="1"/>
  <c r="BY36" i="18" l="1"/>
  <c r="BY37" i="18" s="1"/>
  <c r="BY39" i="18" s="1"/>
  <c r="BN77" i="2"/>
  <c r="BM40" i="2"/>
  <c r="BN40" i="2"/>
  <c r="BO40" i="2"/>
  <c r="BP40" i="2"/>
  <c r="BR40" i="2" s="1"/>
  <c r="BS40" i="2" s="1"/>
  <c r="BT40" i="2" s="1"/>
  <c r="BU40" i="2" s="1"/>
  <c r="BV40" i="2" s="1"/>
  <c r="BW40" i="2" s="1"/>
  <c r="BX40" i="2" s="1"/>
  <c r="BY40" i="2" s="1"/>
  <c r="BZ40" i="2" s="1"/>
  <c r="CA40" i="2" s="1"/>
  <c r="BM77" i="2" l="1"/>
  <c r="BK77" i="2"/>
  <c r="BL77" i="2"/>
  <c r="BO77" i="2"/>
  <c r="BY48" i="18"/>
  <c r="BY41" i="18"/>
  <c r="BY50" i="18"/>
  <c r="BZ34" i="18" s="1"/>
  <c r="BL75" i="2"/>
  <c r="BL76" i="2"/>
  <c r="BK75" i="2"/>
  <c r="BK76" i="2"/>
  <c r="BM75" i="2"/>
  <c r="BM76" i="2"/>
  <c r="BN76" i="2"/>
  <c r="BO75" i="2"/>
  <c r="BO76" i="2"/>
  <c r="BN75" i="2"/>
  <c r="BZ35" i="18" l="1"/>
  <c r="BZ36" i="18" l="1"/>
  <c r="BZ37" i="18" s="1"/>
  <c r="BZ39" i="18" s="1"/>
  <c r="BP77" i="2" l="1"/>
  <c r="BP75" i="2"/>
  <c r="BZ48" i="18"/>
  <c r="BZ41" i="18"/>
  <c r="BZ50" i="18"/>
  <c r="CA34" i="18" s="1"/>
  <c r="BP76" i="2"/>
  <c r="CA35" i="18" l="1"/>
  <c r="BK38" i="2"/>
  <c r="BK36" i="2"/>
  <c r="BK32" i="2"/>
  <c r="BK31" i="2"/>
  <c r="BK30" i="2"/>
  <c r="BK29" i="2"/>
  <c r="BK27" i="2"/>
  <c r="BK80" i="2" s="1"/>
  <c r="BK15" i="2"/>
  <c r="CA36" i="18" l="1"/>
  <c r="CA37" i="18" s="1"/>
  <c r="CA39" i="18" s="1"/>
  <c r="BK34" i="2"/>
  <c r="CA41" i="18" l="1"/>
  <c r="CA48" i="18"/>
  <c r="CA50" i="18"/>
  <c r="CB34" i="18" s="1"/>
  <c r="BL86" i="2"/>
  <c r="BO85" i="2"/>
  <c r="BP85" i="2"/>
  <c r="BP86" i="2"/>
  <c r="BK16" i="2"/>
  <c r="BK17" i="2"/>
  <c r="BK23" i="2" s="1"/>
  <c r="BO86" i="2"/>
  <c r="BO88" i="2"/>
  <c r="BN88" i="2"/>
  <c r="BM88" i="2"/>
  <c r="BP88" i="2"/>
  <c r="BP87" i="2" l="1"/>
  <c r="BP89" i="2" s="1"/>
  <c r="CB35" i="18"/>
  <c r="BO87" i="2"/>
  <c r="BO89" i="2" s="1"/>
  <c r="BN85" i="2"/>
  <c r="BK87" i="2"/>
  <c r="BK89" i="2" s="1"/>
  <c r="BP36" i="2"/>
  <c r="BO36" i="2"/>
  <c r="BK26" i="2"/>
  <c r="BK78" i="2" s="1"/>
  <c r="BK24" i="2"/>
  <c r="BM86" i="2"/>
  <c r="BN86" i="2"/>
  <c r="BN87" i="2" l="1"/>
  <c r="BN89" i="2" s="1"/>
  <c r="CB36" i="18"/>
  <c r="CB37" i="18" s="1"/>
  <c r="CB39" i="18" s="1"/>
  <c r="CC39" i="18" s="1"/>
  <c r="CD39" i="18" s="1"/>
  <c r="CE39" i="18" s="1"/>
  <c r="CF39" i="18" s="1"/>
  <c r="CG39" i="18" s="1"/>
  <c r="CH39" i="18" s="1"/>
  <c r="CI39" i="18" s="1"/>
  <c r="CJ39" i="18" s="1"/>
  <c r="CK39" i="18" s="1"/>
  <c r="CL39" i="18" s="1"/>
  <c r="CM39" i="18" s="1"/>
  <c r="CN39" i="18" s="1"/>
  <c r="CO39" i="18" s="1"/>
  <c r="CP39" i="18" s="1"/>
  <c r="CQ39" i="18" s="1"/>
  <c r="CR39" i="18" s="1"/>
  <c r="CS39" i="18" s="1"/>
  <c r="CT39" i="18" s="1"/>
  <c r="CU39" i="18" s="1"/>
  <c r="CV39" i="18" s="1"/>
  <c r="CW39" i="18" s="1"/>
  <c r="CX39" i="18" s="1"/>
  <c r="CY39" i="18" s="1"/>
  <c r="CZ39" i="18" s="1"/>
  <c r="DA39" i="18" s="1"/>
  <c r="DB39" i="18" s="1"/>
  <c r="DC39" i="18" s="1"/>
  <c r="DD39" i="18" s="1"/>
  <c r="DE39" i="18" s="1"/>
  <c r="DF39" i="18" s="1"/>
  <c r="DG39" i="18" s="1"/>
  <c r="DH39" i="18" s="1"/>
  <c r="DI39" i="18" s="1"/>
  <c r="DJ39" i="18" s="1"/>
  <c r="DK39" i="18" s="1"/>
  <c r="DL39" i="18" s="1"/>
  <c r="DM39" i="18" s="1"/>
  <c r="DN39" i="18" s="1"/>
  <c r="DO39" i="18" s="1"/>
  <c r="DP39" i="18" s="1"/>
  <c r="BL85" i="2"/>
  <c r="BL87" i="2" s="1"/>
  <c r="BL89" i="2" s="1"/>
  <c r="BM85" i="2"/>
  <c r="BM87" i="2" s="1"/>
  <c r="BM89" i="2" s="1"/>
  <c r="BK28" i="2"/>
  <c r="BK33" i="2" s="1"/>
  <c r="BK35" i="2" s="1"/>
  <c r="BK79" i="2"/>
  <c r="BK44" i="2"/>
  <c r="BK45" i="2"/>
  <c r="CB48" i="18" l="1"/>
  <c r="CB41" i="18"/>
  <c r="CB50" i="18"/>
  <c r="BK37" i="2"/>
  <c r="BK39" i="2" s="1"/>
  <c r="BK84" i="2" s="1"/>
  <c r="BK47" i="2"/>
  <c r="BK43" i="2"/>
  <c r="BK46" i="2"/>
  <c r="BP16" i="2"/>
  <c r="BK81" i="2" l="1"/>
  <c r="BK41" i="2"/>
  <c r="BK82" i="2"/>
  <c r="CB60" i="18" l="1"/>
  <c r="CB62" i="18" s="1"/>
  <c r="CB64" i="18" s="1"/>
  <c r="BK48" i="2"/>
  <c r="BP5" i="2"/>
  <c r="BP4" i="2"/>
  <c r="BP34" i="2"/>
  <c r="BP31" i="2"/>
  <c r="BP30" i="2"/>
  <c r="BP29" i="2"/>
  <c r="BP27" i="2"/>
  <c r="BP80" i="2" s="1"/>
  <c r="BP15" i="2"/>
  <c r="BO34" i="2"/>
  <c r="BO32" i="2"/>
  <c r="BO31" i="2"/>
  <c r="BO30" i="2"/>
  <c r="BO29" i="2"/>
  <c r="BO27" i="2"/>
  <c r="BO80" i="2" s="1"/>
  <c r="BO16" i="2"/>
  <c r="BO15" i="2"/>
  <c r="BO5" i="2"/>
  <c r="BO4" i="2"/>
  <c r="BN36" i="2"/>
  <c r="BN34" i="2"/>
  <c r="BN32" i="2"/>
  <c r="BN31" i="2"/>
  <c r="BN30" i="2"/>
  <c r="BN29" i="2"/>
  <c r="BN27" i="2"/>
  <c r="BN80" i="2" s="1"/>
  <c r="BN16" i="2"/>
  <c r="BN15" i="2"/>
  <c r="BM36" i="2"/>
  <c r="BM34" i="2"/>
  <c r="BM32" i="2"/>
  <c r="BM31" i="2"/>
  <c r="BM30" i="2"/>
  <c r="BM29" i="2"/>
  <c r="BM27" i="2"/>
  <c r="BM80" i="2" s="1"/>
  <c r="BM16" i="2"/>
  <c r="BM15" i="2"/>
  <c r="BL36" i="2"/>
  <c r="BL34" i="2"/>
  <c r="BL32" i="2"/>
  <c r="BL31" i="2"/>
  <c r="BL30" i="2"/>
  <c r="BL29" i="2"/>
  <c r="BL27" i="2"/>
  <c r="BL80" i="2" s="1"/>
  <c r="BL16" i="2"/>
  <c r="BL15" i="2"/>
  <c r="CA65" i="18" l="1" a="1"/>
  <c r="CC64" i="18"/>
  <c r="BO6" i="2"/>
  <c r="BR13" i="2"/>
  <c r="BP6" i="2"/>
  <c r="BS5" i="2"/>
  <c r="BT5" i="2" s="1"/>
  <c r="BU5" i="2" s="1"/>
  <c r="BV5" i="2" s="1"/>
  <c r="BW5" i="2" s="1"/>
  <c r="BX5" i="2" s="1"/>
  <c r="BY5" i="2" s="1"/>
  <c r="BZ5" i="2" s="1"/>
  <c r="CA5" i="2" s="1"/>
  <c r="BP8" i="2"/>
  <c r="BP9" i="2"/>
  <c r="BM20" i="2"/>
  <c r="BN19" i="2"/>
  <c r="BL19" i="2"/>
  <c r="BL20" i="2"/>
  <c r="BN20" i="2"/>
  <c r="BO20" i="2"/>
  <c r="BM19" i="2"/>
  <c r="BO19" i="2"/>
  <c r="BP19" i="2"/>
  <c r="BP20" i="2"/>
  <c r="BN17" i="2"/>
  <c r="BN24" i="2" s="1"/>
  <c r="BL17" i="2"/>
  <c r="BL21" i="2" s="1"/>
  <c r="BM17" i="2"/>
  <c r="BP17" i="2"/>
  <c r="BO17" i="2"/>
  <c r="BO23" i="2" s="1"/>
  <c r="BS4" i="2" l="1"/>
  <c r="BS6" i="2" s="1"/>
  <c r="BS13" i="2" s="1"/>
  <c r="BR12" i="2"/>
  <c r="BR26" i="2"/>
  <c r="BR27" i="2" s="1"/>
  <c r="BM21" i="2"/>
  <c r="BO24" i="2"/>
  <c r="BL23" i="2"/>
  <c r="BN23" i="2"/>
  <c r="BO21" i="2"/>
  <c r="BL24" i="2"/>
  <c r="BM24" i="2"/>
  <c r="BN21" i="2"/>
  <c r="BM23" i="2"/>
  <c r="BP21" i="2"/>
  <c r="BP24" i="2"/>
  <c r="BP23" i="2"/>
  <c r="BL26" i="2"/>
  <c r="BL78" i="2" s="1"/>
  <c r="BM26" i="2"/>
  <c r="BM78" i="2" s="1"/>
  <c r="BN26" i="2"/>
  <c r="BN78" i="2" s="1"/>
  <c r="BP10" i="2"/>
  <c r="BP12" i="2"/>
  <c r="BP13" i="2"/>
  <c r="BP26" i="2"/>
  <c r="BO3" i="2"/>
  <c r="BP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C5" i="1"/>
  <c r="BP78" i="2" l="1"/>
  <c r="BP79" i="2"/>
  <c r="BV58" i="20"/>
  <c r="BW58" i="18"/>
  <c r="BV58" i="2"/>
  <c r="BT4" i="2"/>
  <c r="BT6" i="2" s="1"/>
  <c r="BT12" i="2" s="1"/>
  <c r="BN28" i="2"/>
  <c r="BN33" i="2" s="1"/>
  <c r="BN35" i="2" s="1"/>
  <c r="BN37" i="2" s="1"/>
  <c r="BN39" i="2" s="1"/>
  <c r="BS10" i="2"/>
  <c r="BS26" i="2"/>
  <c r="BS27" i="2" s="1"/>
  <c r="BS28" i="2" s="1"/>
  <c r="BM28" i="2"/>
  <c r="BM33" i="2" s="1"/>
  <c r="BM35" i="2" s="1"/>
  <c r="BM79" i="2"/>
  <c r="BL28" i="2"/>
  <c r="BL33" i="2" s="1"/>
  <c r="BL35" i="2" s="1"/>
  <c r="BL79" i="2"/>
  <c r="BP28" i="2"/>
  <c r="BP43" i="2" s="1"/>
  <c r="BN79" i="2"/>
  <c r="BS12" i="2"/>
  <c r="BP44" i="2"/>
  <c r="BP45" i="2"/>
  <c r="BR28" i="2"/>
  <c r="BR30" i="2"/>
  <c r="BR29" i="2"/>
  <c r="BM45" i="2"/>
  <c r="BM44" i="2"/>
  <c r="BN44" i="2"/>
  <c r="BN45" i="2"/>
  <c r="BL44" i="2"/>
  <c r="BL45" i="2"/>
  <c r="BO12" i="2"/>
  <c r="BO26" i="2"/>
  <c r="BO78" i="2" s="1"/>
  <c r="BO13" i="2"/>
  <c r="C8" i="1"/>
  <c r="BU4" i="2" l="1"/>
  <c r="BV4" i="2" s="1"/>
  <c r="BN46" i="2"/>
  <c r="BV60" i="20"/>
  <c r="BV59" i="20"/>
  <c r="BV61" i="20" s="1"/>
  <c r="BV59" i="2"/>
  <c r="BV60" i="2"/>
  <c r="BV74" i="2" s="1"/>
  <c r="BW59" i="18"/>
  <c r="BW60" i="18"/>
  <c r="BN43" i="2"/>
  <c r="BN41" i="2"/>
  <c r="BN84" i="2"/>
  <c r="BN47" i="2"/>
  <c r="BL37" i="2"/>
  <c r="BL39" i="2" s="1"/>
  <c r="BL47" i="2"/>
  <c r="BM43" i="2"/>
  <c r="BM37" i="2"/>
  <c r="BM39" i="2" s="1"/>
  <c r="BM48" i="2" s="1"/>
  <c r="BM47" i="2"/>
  <c r="BP33" i="2"/>
  <c r="BP35" i="2" s="1"/>
  <c r="BP47" i="2" s="1"/>
  <c r="BS30" i="2"/>
  <c r="BS29" i="2"/>
  <c r="BO28" i="2"/>
  <c r="BO33" i="2" s="1"/>
  <c r="BO35" i="2" s="1"/>
  <c r="BO79" i="2"/>
  <c r="BL46" i="2"/>
  <c r="BL43" i="2"/>
  <c r="BT26" i="2"/>
  <c r="BT30" i="2" s="1"/>
  <c r="BT10" i="2"/>
  <c r="BT13" i="2"/>
  <c r="BR33" i="2"/>
  <c r="BX55" i="2" s="1"/>
  <c r="BX56" i="2" s="1"/>
  <c r="BO44" i="2"/>
  <c r="BO45" i="2"/>
  <c r="BM46" i="2"/>
  <c r="BU6" i="2" l="1"/>
  <c r="BU26" i="2" s="1"/>
  <c r="BU29" i="2" s="1"/>
  <c r="BV74" i="20"/>
  <c r="BV61" i="2"/>
  <c r="BW74" i="18"/>
  <c r="BW61" i="18"/>
  <c r="BR46" i="2"/>
  <c r="BM41" i="2"/>
  <c r="BM84" i="2"/>
  <c r="BL41" i="2"/>
  <c r="BL84" i="2"/>
  <c r="BP37" i="2"/>
  <c r="BP39" i="2" s="1"/>
  <c r="BT29" i="2"/>
  <c r="BT27" i="2"/>
  <c r="BT28" i="2" s="1"/>
  <c r="BO37" i="2"/>
  <c r="BO39" i="2" s="1"/>
  <c r="BO47" i="2"/>
  <c r="BP46" i="2"/>
  <c r="BS33" i="2"/>
  <c r="BS46" i="2" s="1"/>
  <c r="BO43" i="2"/>
  <c r="BO46" i="2"/>
  <c r="BU30" i="2"/>
  <c r="BU12" i="2"/>
  <c r="BU13" i="2"/>
  <c r="BU10" i="2"/>
  <c r="BU27" i="2"/>
  <c r="BU28" i="2" s="1"/>
  <c r="BN48" i="2"/>
  <c r="BN82" i="2"/>
  <c r="BN81" i="2"/>
  <c r="BV6" i="2"/>
  <c r="BV12" i="2" s="1"/>
  <c r="BW4" i="2"/>
  <c r="BR35" i="2"/>
  <c r="BR36" i="2" s="1"/>
  <c r="BP82" i="2" l="1"/>
  <c r="BP81" i="2"/>
  <c r="BP41" i="2"/>
  <c r="BP84" i="2"/>
  <c r="BO41" i="2"/>
  <c r="BO84" i="2"/>
  <c r="BT33" i="2"/>
  <c r="BT46" i="2" s="1"/>
  <c r="BU33" i="2"/>
  <c r="BU46" i="2" s="1"/>
  <c r="BL48" i="2"/>
  <c r="BL82" i="2"/>
  <c r="BL81" i="2"/>
  <c r="BW6" i="2"/>
  <c r="BW12" i="2" s="1"/>
  <c r="BX4" i="2"/>
  <c r="BV13" i="2"/>
  <c r="BV26" i="2"/>
  <c r="BV10" i="2"/>
  <c r="BM82" i="2" l="1"/>
  <c r="BM81" i="2"/>
  <c r="BO48" i="2"/>
  <c r="BO82" i="2"/>
  <c r="BO81" i="2"/>
  <c r="BY4" i="2"/>
  <c r="BX6" i="2"/>
  <c r="BX10" i="2" s="1"/>
  <c r="BV30" i="2"/>
  <c r="BV29" i="2"/>
  <c r="BV27" i="2"/>
  <c r="BV28" i="2" s="1"/>
  <c r="BW26" i="2"/>
  <c r="BW13" i="2"/>
  <c r="BW10" i="2"/>
  <c r="BP48" i="2" l="1"/>
  <c r="BV33" i="2"/>
  <c r="BV46" i="2" s="1"/>
  <c r="BX13" i="2"/>
  <c r="BX26" i="2"/>
  <c r="BW30" i="2"/>
  <c r="BW29" i="2"/>
  <c r="BW27" i="2"/>
  <c r="BW28" i="2" s="1"/>
  <c r="BX12" i="2"/>
  <c r="BZ4" i="2"/>
  <c r="BY6" i="2"/>
  <c r="BW33" i="2" l="1"/>
  <c r="BW46" i="2" s="1"/>
  <c r="BY26" i="2"/>
  <c r="BY10" i="2"/>
  <c r="BY13" i="2"/>
  <c r="BX30" i="2"/>
  <c r="BX27" i="2"/>
  <c r="BX28" i="2" s="1"/>
  <c r="BX29" i="2"/>
  <c r="CA4" i="2"/>
  <c r="BZ6" i="2"/>
  <c r="BZ12" i="2" s="1"/>
  <c r="BY12" i="2"/>
  <c r="BX33" i="2" l="1"/>
  <c r="BX46" i="2" s="1"/>
  <c r="CA6" i="2"/>
  <c r="CA12" i="2" s="1"/>
  <c r="BZ10" i="2"/>
  <c r="BZ26" i="2"/>
  <c r="BZ13" i="2"/>
  <c r="BY30" i="2"/>
  <c r="BY27" i="2"/>
  <c r="BY28" i="2" s="1"/>
  <c r="BY29" i="2"/>
  <c r="BY33" i="2" l="1"/>
  <c r="BY46" i="2" s="1"/>
  <c r="BZ30" i="2"/>
  <c r="BZ29" i="2"/>
  <c r="BZ27" i="2"/>
  <c r="BZ28" i="2" s="1"/>
  <c r="CA26" i="2"/>
  <c r="CA10" i="2"/>
  <c r="CA13" i="2"/>
  <c r="BZ33" i="2" l="1"/>
  <c r="BZ46" i="2" s="1"/>
  <c r="CA29" i="2"/>
  <c r="CA30" i="2"/>
  <c r="CA27" i="2"/>
  <c r="CA28" i="2" s="1"/>
  <c r="CA33" i="2" l="1"/>
  <c r="CA46" i="2" s="1"/>
  <c r="BR37" i="2" l="1"/>
  <c r="BR39" i="2" s="1"/>
  <c r="BR50" i="2" l="1"/>
  <c r="BS34" i="2" s="1"/>
  <c r="BR48" i="2"/>
  <c r="BR41" i="2"/>
  <c r="BS35" i="2" l="1"/>
  <c r="BS36" i="2" s="1"/>
  <c r="BS37" i="2" l="1"/>
  <c r="BS39" i="2" s="1"/>
  <c r="BS50" i="2" s="1"/>
  <c r="BT34" i="2" s="1"/>
  <c r="BS48" i="2" l="1"/>
  <c r="BS41" i="2"/>
  <c r="BT35" i="2" l="1"/>
  <c r="BT36" i="2" s="1"/>
  <c r="BT37" i="2" l="1"/>
  <c r="BT39" i="2" s="1"/>
  <c r="BT50" i="2" s="1"/>
  <c r="BU34" i="2" s="1"/>
  <c r="BT41" i="2" l="1"/>
  <c r="BT48" i="2"/>
  <c r="BU35" i="2" l="1"/>
  <c r="BU36" i="2" s="1"/>
  <c r="BU37" i="2" l="1"/>
  <c r="BU39" i="2" s="1"/>
  <c r="BU50" i="2" s="1"/>
  <c r="BV34" i="2" s="1"/>
  <c r="BU41" i="2" l="1"/>
  <c r="BU48" i="2"/>
  <c r="BV35" i="2" l="1"/>
  <c r="BV36" i="2" s="1"/>
  <c r="BV37" i="2" l="1"/>
  <c r="BV39" i="2" s="1"/>
  <c r="BV50" i="2" s="1"/>
  <c r="BW34" i="2" s="1"/>
  <c r="BV48" i="2" l="1"/>
  <c r="BV41" i="2"/>
  <c r="BW35" i="2" l="1"/>
  <c r="BW36" i="2" s="1"/>
  <c r="BW37" i="2" l="1"/>
  <c r="BW39" i="2" s="1"/>
  <c r="BW50" i="2" s="1"/>
  <c r="BX34" i="2" s="1"/>
  <c r="BW48" i="2" l="1"/>
  <c r="BW41" i="2"/>
  <c r="BX35" i="2" l="1"/>
  <c r="BX36" i="2" s="1"/>
  <c r="BX37" i="2" l="1"/>
  <c r="BX39" i="2" s="1"/>
  <c r="BX50" i="2" s="1"/>
  <c r="BY34" i="2" s="1"/>
  <c r="BX48" i="2" l="1"/>
  <c r="BX41" i="2"/>
  <c r="BY35" i="2" l="1"/>
  <c r="BY36" i="2" s="1"/>
  <c r="BY37" i="2" l="1"/>
  <c r="BY39" i="2" s="1"/>
  <c r="BY50" i="2" s="1"/>
  <c r="BZ34" i="2" s="1"/>
  <c r="BY48" i="2" l="1"/>
  <c r="BY41" i="2"/>
  <c r="BZ35" i="2" l="1"/>
  <c r="BZ36" i="2" s="1"/>
  <c r="BZ37" i="2" l="1"/>
  <c r="BZ39" i="2" s="1"/>
  <c r="BZ50" i="2" s="1"/>
  <c r="CA34" i="2" s="1"/>
  <c r="BZ41" i="2" l="1"/>
  <c r="BZ48" i="2"/>
  <c r="CA35" i="2" l="1"/>
  <c r="CA36" i="2" s="1"/>
  <c r="CA37" i="2" l="1"/>
  <c r="CA39" i="2" s="1"/>
  <c r="CA50" i="2" l="1"/>
  <c r="CB39" i="2"/>
  <c r="CC39" i="2" s="1"/>
  <c r="CD39" i="2" s="1"/>
  <c r="CE39" i="2" s="1"/>
  <c r="CF39" i="2" s="1"/>
  <c r="CG39" i="2" s="1"/>
  <c r="CH39" i="2" s="1"/>
  <c r="CI39" i="2" s="1"/>
  <c r="CJ39" i="2" s="1"/>
  <c r="CK39" i="2" s="1"/>
  <c r="CL39" i="2" s="1"/>
  <c r="CM39" i="2" s="1"/>
  <c r="CN39" i="2" s="1"/>
  <c r="CO39" i="2" s="1"/>
  <c r="CP39" i="2" s="1"/>
  <c r="CQ39" i="2" s="1"/>
  <c r="CR39" i="2" s="1"/>
  <c r="CS39" i="2" s="1"/>
  <c r="CT39" i="2" s="1"/>
  <c r="CU39" i="2" s="1"/>
  <c r="CV39" i="2" s="1"/>
  <c r="CW39" i="2" s="1"/>
  <c r="CX39" i="2" s="1"/>
  <c r="CY39" i="2" s="1"/>
  <c r="CZ39" i="2" s="1"/>
  <c r="DA39" i="2" s="1"/>
  <c r="DB39" i="2" s="1"/>
  <c r="DC39" i="2" s="1"/>
  <c r="DD39" i="2" s="1"/>
  <c r="DE39" i="2" s="1"/>
  <c r="DF39" i="2" s="1"/>
  <c r="DG39" i="2" s="1"/>
  <c r="DH39" i="2" s="1"/>
  <c r="DI39" i="2" s="1"/>
  <c r="DJ39" i="2" s="1"/>
  <c r="DK39" i="2" s="1"/>
  <c r="DL39" i="2" s="1"/>
  <c r="DM39" i="2" s="1"/>
  <c r="DN39" i="2" s="1"/>
  <c r="DO39" i="2" s="1"/>
  <c r="CA48" i="2"/>
  <c r="CA41" i="2"/>
  <c r="CA60" i="2" l="1"/>
  <c r="CA62" i="2" s="1"/>
  <c r="CA64" i="2" s="1"/>
  <c r="AW50" i="2"/>
  <c r="AX50" i="2" s="1"/>
  <c r="BZ65" i="2" l="1" a="1"/>
  <c r="CB64" i="2"/>
  <c r="AW34" i="2" l="1"/>
  <c r="AW35" i="2" s="1"/>
  <c r="AW36" i="2" s="1"/>
  <c r="AW37" i="2" s="1"/>
  <c r="AX34" i="2" l="1"/>
  <c r="AX35" i="2" s="1"/>
  <c r="AX36" i="2" s="1"/>
  <c r="AX3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tc={D2462D02-1B98-44EA-A716-7C382417314E}</author>
    <author>tc={2DF65260-27C8-4096-8BD4-40C6297DA6CB}</author>
    <author>tc={1AF9D6C3-82F6-4826-8864-190D1181B9CF}</author>
    <author>tc={4D558786-3F37-4C21-9812-E53C0149C98F}</author>
  </authors>
  <commentList>
    <comment ref="BR39" authorId="0" shapeId="0" xr:uid="{D2462D02-1B98-44EA-A716-7C382417314E}">
      <text>
        <t>[Threaded comment]
Your version of Excel allows you to read this threaded comment; however, any edits to it will get removed if the file is opened in a newer version of Excel. Learn more: https://go.microsoft.com/fwlink/?linkid=870924
Comment:
    FYE: $151M</t>
      </text>
    </comment>
    <comment ref="BS39" authorId="1" shapeId="0" xr:uid="{2DF65260-27C8-4096-8BD4-40C6297DA6CB}">
      <text>
        <t>[Threaded comment]
Your version of Excel allows you to read this threaded comment; however, any edits to it will get removed if the file is opened in a newer version of Excel. Learn more: https://go.microsoft.com/fwlink/?linkid=870924
Comment:
    FYE: $194M</t>
      </text>
    </comment>
    <comment ref="BR41" authorId="2" shapeId="0" xr:uid="{1AF9D6C3-82F6-4826-8864-190D1181B9CF}">
      <text>
        <t>[Threaded comment]
Your version of Excel allows you to read this threaded comment; however, any edits to it will get removed if the file is opened in a newer version of Excel. Learn more: https://go.microsoft.com/fwlink/?linkid=870924
Comment:
    Low: 3.37 High: 3.88 Avg: 3.66 (3/30/25)
Excluded one-time write-down of immersive (non-operating)</t>
      </text>
    </comment>
    <comment ref="BS41" authorId="3" shapeId="0" xr:uid="{4D558786-3F37-4C21-9812-E53C0149C98F}">
      <text>
        <t>[Threaded comment]
Your version of Excel allows you to read this threaded comment; however, any edits to it will get removed if the file is opened in a newer version of Excel. Learn more: https://go.microsoft.com/fwlink/?linkid=870924
Comment:
    Low: 4.29 High: 5.60 Avg: 4.94 (3/30/25)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tc={F4C62901-2A8D-4AE7-98F5-C86C99A16FE0}</author>
    <author>tc={3ABE8CFB-5C94-4172-B781-AAA052099CC6}</author>
    <author>tc={DB091BD2-E92B-4C65-84CF-37435A1596A1}</author>
    <author>tc={92B3D3CD-DC2C-48F4-A1D7-C377F3162060}</author>
  </authors>
  <commentList>
    <comment ref="BR39" authorId="0" shapeId="0" xr:uid="{F4C62901-2A8D-4AE7-98F5-C86C99A16FE0}">
      <text>
        <t>[Threaded comment]
Your version of Excel allows you to read this threaded comment; however, any edits to it will get removed if the file is opened in a newer version of Excel. Learn more: https://go.microsoft.com/fwlink/?linkid=870924
Comment:
    FYE: $151M</t>
      </text>
    </comment>
    <comment ref="BS39" authorId="1" shapeId="0" xr:uid="{3ABE8CFB-5C94-4172-B781-AAA052099CC6}">
      <text>
        <t>[Threaded comment]
Your version of Excel allows you to read this threaded comment; however, any edits to it will get removed if the file is opened in a newer version of Excel. Learn more: https://go.microsoft.com/fwlink/?linkid=870924
Comment:
    FYE: $194M</t>
      </text>
    </comment>
    <comment ref="BR41" authorId="2" shapeId="0" xr:uid="{DB091BD2-E92B-4C65-84CF-37435A1596A1}">
      <text>
        <t>[Threaded comment]
Your version of Excel allows you to read this threaded comment; however, any edits to it will get removed if the file is opened in a newer version of Excel. Learn more: https://go.microsoft.com/fwlink/?linkid=870924
Comment:
    Low: 3.37 High: 3.88 Avg: 3.66 (3/30/25)
Excluded one-time write-down of immersive (non-operating)</t>
      </text>
    </comment>
    <comment ref="BS41" authorId="3" shapeId="0" xr:uid="{92B3D3CD-DC2C-48F4-A1D7-C377F3162060}">
      <text>
        <t>[Threaded comment]
Your version of Excel allows you to read this threaded comment; however, any edits to it will get removed if the file is opened in a newer version of Excel. Learn more: https://go.microsoft.com/fwlink/?linkid=870924
Comment:
    Low: 4.29 High: 5.60 Avg: 4.94 (3/30/25)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tc={6EB97345-D629-4C6F-B1AD-4FAE241C1BE8}</author>
    <author>tc={A459AC2A-C70A-443E-A4F3-2864255CF9CF}</author>
    <author>tc={DB8E23E6-6A82-4358-8CEE-477F4374B75E}</author>
    <author>tc={7BE04F7A-518B-4DA6-9093-E1FD84F85E7D}</author>
  </authors>
  <commentList>
    <comment ref="BS39" authorId="0" shapeId="0" xr:uid="{6EB97345-D629-4C6F-B1AD-4FAE241C1BE8}">
      <text>
        <t>[Threaded comment]
Your version of Excel allows you to read this threaded comment; however, any edits to it will get removed if the file is opened in a newer version of Excel. Learn more: https://go.microsoft.com/fwlink/?linkid=870924
Comment:
    FYE: $151M</t>
      </text>
    </comment>
    <comment ref="BT39" authorId="1" shapeId="0" xr:uid="{A459AC2A-C70A-443E-A4F3-2864255CF9CF}">
      <text>
        <t>[Threaded comment]
Your version of Excel allows you to read this threaded comment; however, any edits to it will get removed if the file is opened in a newer version of Excel. Learn more: https://go.microsoft.com/fwlink/?linkid=870924
Comment:
    FYE: $194M</t>
      </text>
    </comment>
    <comment ref="BS41" authorId="2" shapeId="0" xr:uid="{DB8E23E6-6A82-4358-8CEE-477F4374B75E}">
      <text>
        <t>[Threaded comment]
Your version of Excel allows you to read this threaded comment; however, any edits to it will get removed if the file is opened in a newer version of Excel. Learn more: https://go.microsoft.com/fwlink/?linkid=870924
Comment:
    Low: 3.37 High: 3.88 Avg: 3.66 (3/30/25)
Excluded one-time write-down of immersive (non-operating)</t>
      </text>
    </comment>
    <comment ref="BT41" authorId="3" shapeId="0" xr:uid="{7BE04F7A-518B-4DA6-9093-E1FD84F85E7D}">
      <text>
        <t>[Threaded comment]
Your version of Excel allows you to read this threaded comment; however, any edits to it will get removed if the file is opened in a newer version of Excel. Learn more: https://go.microsoft.com/fwlink/?linkid=870924
Comment:
    Low: 4.29 High: 5.60 Avg: 4.94 (3/30/25)</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<sst xmlns="http://schemas.openxmlformats.org/spreadsheetml/2006/main" count="4503" uniqueCount="2589">
  <si>
    <t>MC</t>
  </si>
  <si>
    <t>Cash</t>
  </si>
  <si>
    <t>Debt</t>
  </si>
  <si>
    <t>EV</t>
  </si>
  <si>
    <t>PEN</t>
  </si>
  <si>
    <t>Company Overview:</t>
  </si>
  <si>
    <t>Founded: 2004</t>
  </si>
  <si>
    <t>Mon, 01 Apr 2024 00:00:00 GMT</t>
  </si>
  <si>
    <t>Tue, 02 Apr 2024 00:00:00 GMT</t>
  </si>
  <si>
    <t>Wed, 03 Apr 2024 00:00:00 GMT</t>
  </si>
  <si>
    <t>Thu, 04 Apr 2024 00:00:00 GMT</t>
  </si>
  <si>
    <t>Fri, 05 Apr 2024 00:00:00 GMT</t>
  </si>
  <si>
    <t>Mon, 08 Apr 2024 00:00:00 GMT</t>
  </si>
  <si>
    <t>Tue, 09 Apr 2024 00:00:00 GMT</t>
  </si>
  <si>
    <t>Wed, 10 Apr 2024 00:00:00 GMT</t>
  </si>
  <si>
    <t>Thu, 11 Apr 2024 00:00:00 GMT</t>
  </si>
  <si>
    <t>Fri, 12 Apr 2024 00:00:00 GMT</t>
  </si>
  <si>
    <t>Mon, 15 Apr 2024 00:00:00 GMT</t>
  </si>
  <si>
    <t>Tue, 16 Apr 2024 00:00:00 GMT</t>
  </si>
  <si>
    <t>Wed, 17 Apr 2024 00:00:00 GMT</t>
  </si>
  <si>
    <t>Thu, 18 Apr 2024 00:00:00 GMT</t>
  </si>
  <si>
    <t>Fri, 19 Apr 2024 00:00:00 GMT</t>
  </si>
  <si>
    <t>Mon, 22 Apr 2024 00:00:00 GMT</t>
  </si>
  <si>
    <t>Tue, 23 Apr 2024 00:00:00 GMT</t>
  </si>
  <si>
    <t>Wed, 24 Apr 2024 00:00:00 GMT</t>
  </si>
  <si>
    <t>Thu, 25 Apr 2024 00:00:00 GMT</t>
  </si>
  <si>
    <t>Fri, 26 Apr 2024 00:00:00 GMT</t>
  </si>
  <si>
    <t>Mon, 29 Apr 2024 00:00:00 GMT</t>
  </si>
  <si>
    <t>Tue, 30 Apr 2024 00:00:00 GMT</t>
  </si>
  <si>
    <t>Wed, 01 May 2024 00:00:00 GMT</t>
  </si>
  <si>
    <t>Thu, 02 May 2024 00:00:00 GMT</t>
  </si>
  <si>
    <t>Fri, 03 May 2024 00:00:00 GMT</t>
  </si>
  <si>
    <t>Mon, 06 May 2024 00:00:00 GMT</t>
  </si>
  <si>
    <t>Tue, 07 May 2024 00:00:00 GMT</t>
  </si>
  <si>
    <t>Wed, 08 May 2024 00:00:00 GMT</t>
  </si>
  <si>
    <t>Thu, 09 May 2024 00:00:00 GMT</t>
  </si>
  <si>
    <t>Fri, 10 May 2024 00:00:00 GMT</t>
  </si>
  <si>
    <t>Mon, 13 May 2024 00:00:00 GMT</t>
  </si>
  <si>
    <t>Tue, 14 May 2024 00:00:00 GMT</t>
  </si>
  <si>
    <t>Wed, 15 May 2024 00:00:00 GMT</t>
  </si>
  <si>
    <t>Thu, 16 May 2024 00:00:00 GMT</t>
  </si>
  <si>
    <t>Fri, 17 May 2024 00:00:00 GMT</t>
  </si>
  <si>
    <t>Mon, 20 May 2024 00:00:00 GMT</t>
  </si>
  <si>
    <t>Tue, 21 May 2024 00:00:00 GMT</t>
  </si>
  <si>
    <t>Wed, 22 May 2024 00:00:00 GMT</t>
  </si>
  <si>
    <t>Thu, 23 May 2024 00:00:00 GMT</t>
  </si>
  <si>
    <t>Fri, 24 May 2024 00:00:00 GMT</t>
  </si>
  <si>
    <t>Tue, 28 May 2024 00:00:00 GMT</t>
  </si>
  <si>
    <t>Wed, 29 May 2024 00:00:00 GMT</t>
  </si>
  <si>
    <t>Thu, 30 May 2024 00:00:00 GMT</t>
  </si>
  <si>
    <t>Fri, 31 May 2024 00:00:00 GMT</t>
  </si>
  <si>
    <t>Mon, 03 Jun 2024 00:00:00 GMT</t>
  </si>
  <si>
    <t>Tue, 04 Jun 2024 00:00:00 GMT</t>
  </si>
  <si>
    <t>Wed, 05 Jun 2024 00:00:00 GMT</t>
  </si>
  <si>
    <t>Thu, 06 Jun 2024 00:00:00 GMT</t>
  </si>
  <si>
    <t>Fri, 07 Jun 2024 00:00:00 GMT</t>
  </si>
  <si>
    <t>Mon, 10 Jun 2024 00:00:00 GMT</t>
  </si>
  <si>
    <t>Tue, 11 Jun 2024 00:00:00 GMT</t>
  </si>
  <si>
    <t>Wed, 12 Jun 2024 00:00:00 GMT</t>
  </si>
  <si>
    <t>Thu, 13 Jun 2024 00:00:00 GMT</t>
  </si>
  <si>
    <t>Fri, 14 Jun 2024 00:00:00 GMT</t>
  </si>
  <si>
    <t>Mon, 17 Jun 2024 00:00:00 GMT</t>
  </si>
  <si>
    <t>Tue, 18 Jun 2024 00:00:00 GMT</t>
  </si>
  <si>
    <t>Thu, 20 Jun 2024 00:00:00 GMT</t>
  </si>
  <si>
    <t>Fri, 21 Jun 2024 00:00:00 GMT</t>
  </si>
  <si>
    <t>Mon, 24 Jun 2024 00:00:00 GMT</t>
  </si>
  <si>
    <t>Tue, 25 Jun 2024 00:00:00 GMT</t>
  </si>
  <si>
    <t>Wed, 26 Jun 2024 00:00:00 GMT</t>
  </si>
  <si>
    <t>Thu, 27 Jun 2024 00:00:00 GMT</t>
  </si>
  <si>
    <t>Fri, 28 Jun 2024 00:00:00 GMT</t>
  </si>
  <si>
    <t>Mon, 01 Jul 2024 00:00:00 GMT</t>
  </si>
  <si>
    <t>Tue, 02 Jul 2024 00:00:00 GMT</t>
  </si>
  <si>
    <t>Wed, 03 Jul 2024 00:00:00 GMT</t>
  </si>
  <si>
    <t>Fri, 05 Jul 2024 00:00:00 GMT</t>
  </si>
  <si>
    <t>Mon, 08 Jul 2024 00:00:00 GMT</t>
  </si>
  <si>
    <t>Tue, 09 Jul 2024 00:00:00 GMT</t>
  </si>
  <si>
    <t>Wed, 10 Jul 2024 00:00:00 GMT</t>
  </si>
  <si>
    <t>Thu, 11 Jul 2024 00:00:00 GMT</t>
  </si>
  <si>
    <t>Fri, 12 Jul 2024 00:00:00 GMT</t>
  </si>
  <si>
    <t>Mon, 15 Jul 2024 00:00:00 GMT</t>
  </si>
  <si>
    <t>Tue, 16 Jul 2024 00:00:00 GMT</t>
  </si>
  <si>
    <t>Wed, 17 Jul 2024 00:00:00 GMT</t>
  </si>
  <si>
    <t>Thu, 18 Jul 2024 00:00:00 GMT</t>
  </si>
  <si>
    <t>Fri, 19 Jul 2024 00:00:00 GMT</t>
  </si>
  <si>
    <t>Mon, 22 Jul 2024 00:00:00 GMT</t>
  </si>
  <si>
    <t>Tue, 23 Jul 2024 00:00:00 GMT</t>
  </si>
  <si>
    <t>Wed, 24 Jul 2024 00:00:00 GMT</t>
  </si>
  <si>
    <t>Thu, 25 Jul 2024 00:00:00 GMT</t>
  </si>
  <si>
    <t>Fri, 26 Jul 2024 00:00:00 GMT</t>
  </si>
  <si>
    <t>Mon, 29 Jul 2024 00:00:00 GMT</t>
  </si>
  <si>
    <t>Tue, 30 Jul 2024 00:00:00 GMT</t>
  </si>
  <si>
    <t>Wed, 31 Jul 2024 00:00:00 GMT</t>
  </si>
  <si>
    <t>Thu, 01 Aug 2024 00:00:00 GMT</t>
  </si>
  <si>
    <t>Fri, 02 Aug 2024 00:00:00 GMT</t>
  </si>
  <si>
    <t>Mon, 05 Aug 2024 00:00:00 GMT</t>
  </si>
  <si>
    <t>Tue, 06 Aug 2024 00:00:00 GMT</t>
  </si>
  <si>
    <t>Wed, 07 Aug 2024 00:00:00 GMT</t>
  </si>
  <si>
    <t>Thu, 08 Aug 2024 00:00:00 GMT</t>
  </si>
  <si>
    <t>Fri, 09 Aug 2024 00:00:00 GMT</t>
  </si>
  <si>
    <t>Mon, 12 Aug 2024 00:00:00 GMT</t>
  </si>
  <si>
    <t>Tue, 13 Aug 2024 00:00:00 GMT</t>
  </si>
  <si>
    <t>Wed, 14 Aug 2024 00:00:00 GMT</t>
  </si>
  <si>
    <t>Thu, 15 Aug 2024 00:00:00 GMT</t>
  </si>
  <si>
    <t>Fri, 16 Aug 2024 00:00:00 GMT</t>
  </si>
  <si>
    <t>Mon, 19 Aug 2024 00:00:00 GMT</t>
  </si>
  <si>
    <t>Tue, 20 Aug 2024 00:00:00 GMT</t>
  </si>
  <si>
    <t>Wed, 21 Aug 2024 00:00:00 GMT</t>
  </si>
  <si>
    <t>Thu, 22 Aug 2024 00:00:00 GMT</t>
  </si>
  <si>
    <t>Fri, 23 Aug 2024 00:00:00 GMT</t>
  </si>
  <si>
    <t>Mon, 26 Aug 2024 00:00:00 GMT</t>
  </si>
  <si>
    <t>Tue, 27 Aug 2024 00:00:00 GMT</t>
  </si>
  <si>
    <t>Wed, 28 Aug 2024 00:00:00 GMT</t>
  </si>
  <si>
    <t>Thu, 29 Aug 2024 00:00:00 GMT</t>
  </si>
  <si>
    <t>Fri, 30 Aug 2024 00:00:00 GMT</t>
  </si>
  <si>
    <t>Tue, 03 Sep 2024 00:00:00 GMT</t>
  </si>
  <si>
    <t>Wed, 04 Sep 2024 00:00:00 GMT</t>
  </si>
  <si>
    <t>Thu, 05 Sep 2024 00:00:00 GMT</t>
  </si>
  <si>
    <t>Fri, 06 Sep 2024 00:00:00 GMT</t>
  </si>
  <si>
    <t>Mon, 09 Sep 2024 00:00:00 GMT</t>
  </si>
  <si>
    <t>Tue, 10 Sep 2024 00:00:00 GMT</t>
  </si>
  <si>
    <t>Wed, 11 Sep 2024 00:00:00 GMT</t>
  </si>
  <si>
    <t>Thu, 12 Sep 2024 00:00:00 GMT</t>
  </si>
  <si>
    <t>Fri, 13 Sep 2024 00:00:00 GMT</t>
  </si>
  <si>
    <t>Mon, 16 Sep 2024 00:00:00 GMT</t>
  </si>
  <si>
    <t>Tue, 17 Sep 2024 00:00:00 GMT</t>
  </si>
  <si>
    <t>Wed, 18 Sep 2024 00:00:00 GMT</t>
  </si>
  <si>
    <t>Thu, 19 Sep 2024 00:00:00 GMT</t>
  </si>
  <si>
    <t>Fri, 20 Sep 2024 00:00:00 GMT</t>
  </si>
  <si>
    <t>Mon, 23 Sep 2024 00:00:00 GMT</t>
  </si>
  <si>
    <t>Tue, 24 Sep 2024 00:00:00 GMT</t>
  </si>
  <si>
    <t>Wed, 25 Sep 2024 00:00:00 GMT</t>
  </si>
  <si>
    <t>Thu, 26 Sep 2024 00:00:00 GMT</t>
  </si>
  <si>
    <t>Fri, 27 Sep 2024 00:00:00 GMT</t>
  </si>
  <si>
    <t>Mon, 30 Sep 2024 00:00:00 GMT</t>
  </si>
  <si>
    <t>Tue, 01 Oct 2024 00:00:00 GMT</t>
  </si>
  <si>
    <t>Wed, 02 Oct 2024 00:00:00 GMT</t>
  </si>
  <si>
    <t>Thu, 03 Oct 2024 00:00:00 GMT</t>
  </si>
  <si>
    <t>Fri, 04 Oct 2024 00:00:00 GMT</t>
  </si>
  <si>
    <t>Mon, 07 Oct 2024 00:00:00 GMT</t>
  </si>
  <si>
    <t>Tue, 08 Oct 2024 00:00:00 GMT</t>
  </si>
  <si>
    <t>Wed, 09 Oct 2024 00:00:00 GMT</t>
  </si>
  <si>
    <t>Thu, 10 Oct 2024 00:00:00 GMT</t>
  </si>
  <si>
    <t>Fri, 11 Oct 2024 00:00:00 GMT</t>
  </si>
  <si>
    <t>Mon, 14 Oct 2024 00:00:00 GMT</t>
  </si>
  <si>
    <t>Tue, 15 Oct 2024 00:00:00 GMT</t>
  </si>
  <si>
    <t>Wed, 16 Oct 2024 00:00:00 GMT</t>
  </si>
  <si>
    <t>Thu, 17 Oct 2024 00:00:00 GMT</t>
  </si>
  <si>
    <t>Fri, 18 Oct 2024 00:00:00 GMT</t>
  </si>
  <si>
    <t>Mon, 21 Oct 2024 00:00:00 GMT</t>
  </si>
  <si>
    <t>Tue, 22 Oct 2024 00:00:00 GMT</t>
  </si>
  <si>
    <t>Wed, 23 Oct 2024 00:00:00 GMT</t>
  </si>
  <si>
    <t>Thu, 24 Oct 2024 00:00:00 GMT</t>
  </si>
  <si>
    <t>Fri, 25 Oct 2024 00:00:00 GMT</t>
  </si>
  <si>
    <t>Mon, 28 Oct 2024 00:00:00 GMT</t>
  </si>
  <si>
    <t>Tue, 29 Oct 2024 00:00:00 GMT</t>
  </si>
  <si>
    <t>Wed, 30 Oct 2024 00:00:00 GMT</t>
  </si>
  <si>
    <t>Thu, 31 Oct 2024 00:00:00 GMT</t>
  </si>
  <si>
    <t>Fri, 01 Nov 2024 00:00:00 GMT</t>
  </si>
  <si>
    <t>Mon, 04 Nov 2024 00:00:00 GMT</t>
  </si>
  <si>
    <t>Tue, 05 Nov 2024 00:00:00 GMT</t>
  </si>
  <si>
    <t>Wed, 06 Nov 2024 00:00:00 GMT</t>
  </si>
  <si>
    <t>Thu, 07 Nov 2024 00:00:00 GMT</t>
  </si>
  <si>
    <t>Fri, 08 Nov 2024 00:00:00 GMT</t>
  </si>
  <si>
    <t>Mon, 11 Nov 2024 00:00:00 GMT</t>
  </si>
  <si>
    <t>Tue, 12 Nov 2024 00:00:00 GMT</t>
  </si>
  <si>
    <t>Wed, 13 Nov 2024 00:00:00 GMT</t>
  </si>
  <si>
    <t>Thu, 14 Nov 2024 00:00:00 GMT</t>
  </si>
  <si>
    <t>Fri, 15 Nov 2024 00:00:00 GMT</t>
  </si>
  <si>
    <t>Mon, 18 Nov 2024 00:00:00 GMT</t>
  </si>
  <si>
    <t>Tue, 19 Nov 2024 00:00:00 GMT</t>
  </si>
  <si>
    <t>Wed, 20 Nov 2024 00:00:00 GMT</t>
  </si>
  <si>
    <t>Thu, 21 Nov 2024 00:00:00 GMT</t>
  </si>
  <si>
    <t>Fri, 22 Nov 2024 00:00:00 GMT</t>
  </si>
  <si>
    <t>Mon, 25 Nov 2024 00:00:00 GMT</t>
  </si>
  <si>
    <t>Tue, 26 Nov 2024 00:00:00 GMT</t>
  </si>
  <si>
    <t>Wed, 27 Nov 2024 00:00:00 GMT</t>
  </si>
  <si>
    <t>Fri, 29 Nov 2024 00:00:00 GMT</t>
  </si>
  <si>
    <t>Mon, 02 Dec 2024 00:00:00 GMT</t>
  </si>
  <si>
    <t>Tue, 03 Dec 2024 00:00:00 GMT</t>
  </si>
  <si>
    <t>Wed, 04 Dec 2024 00:00:00 GMT</t>
  </si>
  <si>
    <t>Thu, 05 Dec 2024 00:00:00 GMT</t>
  </si>
  <si>
    <t>Fri, 06 Dec 2024 00:00:00 GMT</t>
  </si>
  <si>
    <t>Mon, 09 Dec 2024 00:00:00 GMT</t>
  </si>
  <si>
    <t>Tue, 10 Dec 2024 00:00:00 GMT</t>
  </si>
  <si>
    <t>Wed, 11 Dec 2024 00:00:00 GMT</t>
  </si>
  <si>
    <t>Thu, 12 Dec 2024 00:00:00 GMT</t>
  </si>
  <si>
    <t>Fri, 13 Dec 2024 00:00:00 GMT</t>
  </si>
  <si>
    <t>Mon, 16 Dec 2024 00:00:00 GMT</t>
  </si>
  <si>
    <t>Tue, 17 Dec 2024 00:00:00 GMT</t>
  </si>
  <si>
    <t>Wed, 18 Dec 2024 00:00:00 GMT</t>
  </si>
  <si>
    <t>Thu, 19 Dec 2024 00:00:00 GMT</t>
  </si>
  <si>
    <t>Fri, 20 Dec 2024 00:00:00 GMT</t>
  </si>
  <si>
    <t>Mon, 23 Dec 2024 00:00:00 GMT</t>
  </si>
  <si>
    <t>Tue, 24 Dec 2024 00:00:00 GMT</t>
  </si>
  <si>
    <t>Thu, 26 Dec 2024 00:00:00 GMT</t>
  </si>
  <si>
    <t>Fri, 27 Dec 2024 00:00:00 GMT</t>
  </si>
  <si>
    <t>Mon, 30 Dec 2024 00:00:00 GMT</t>
  </si>
  <si>
    <t>Tue, 31 Dec 2024 00:00:00 GMT</t>
  </si>
  <si>
    <t>Thu, 02 Jan 2025 00:00:00 GMT</t>
  </si>
  <si>
    <t>Fri, 03 Jan 2025 00:00:00 GMT</t>
  </si>
  <si>
    <t>Mon, 06 Jan 2025 00:00:00 GMT</t>
  </si>
  <si>
    <t>Tue, 07 Jan 2025 00:00:00 GMT</t>
  </si>
  <si>
    <t>Wed, 08 Jan 2025 00:00:00 GMT</t>
  </si>
  <si>
    <t>Fri, 10 Jan 2025 00:00:00 GMT</t>
  </si>
  <si>
    <t>Mon, 13 Jan 2025 00:00:00 GMT</t>
  </si>
  <si>
    <t>Tue, 14 Jan 2025 00:00:00 GMT</t>
  </si>
  <si>
    <t>Wed, 15 Jan 2025 00:00:00 GMT</t>
  </si>
  <si>
    <t>Thu, 16 Jan 2025 00:00:00 GMT</t>
  </si>
  <si>
    <t>Fri, 17 Jan 2025 00:00:00 GMT</t>
  </si>
  <si>
    <t>Tue, 21 Jan 2025 00:00:00 GMT</t>
  </si>
  <si>
    <t>Wed, 22 Jan 2025 00:00:00 GMT</t>
  </si>
  <si>
    <t>Thu, 23 Jan 2025 00:00:00 GMT</t>
  </si>
  <si>
    <t>Fri, 24 Jan 2025 00:00:00 GMT</t>
  </si>
  <si>
    <t>Mon, 27 Jan 2025 00:00:00 GMT</t>
  </si>
  <si>
    <t>Tue, 28 Jan 2025 00:00:00 GMT</t>
  </si>
  <si>
    <t>Wed, 29 Jan 2025 00:00:00 GMT</t>
  </si>
  <si>
    <t>Thu, 30 Jan 2025 00:00:00 GMT</t>
  </si>
  <si>
    <t>Fri, 31 Jan 2025 00:00:00 GMT</t>
  </si>
  <si>
    <t>Mon, 03 Feb 2025 00:00:00 GMT</t>
  </si>
  <si>
    <t>Tue, 04 Feb 2025 00:00:00 GMT</t>
  </si>
  <si>
    <t>Wed, 05 Feb 2025 00:00:00 GMT</t>
  </si>
  <si>
    <t>Thu, 06 Feb 2025 00:00:00 GMT</t>
  </si>
  <si>
    <t>Fri, 07 Feb 2025 00:00:00 GMT</t>
  </si>
  <si>
    <t>Mon, 10 Feb 2025 00:00:00 GMT</t>
  </si>
  <si>
    <t>Tue, 11 Feb 2025 00:00:00 GMT</t>
  </si>
  <si>
    <t>Wed, 12 Feb 2025 00:00:00 GMT</t>
  </si>
  <si>
    <t>Thu, 13 Feb 2025 00:00:00 GMT</t>
  </si>
  <si>
    <t>Fri, 14 Feb 2025 00:00:00 GMT</t>
  </si>
  <si>
    <t>Tue, 18 Feb 2025 00:00:00 GMT</t>
  </si>
  <si>
    <t>Wed, 19 Feb 2025 00:00:00 GMT</t>
  </si>
  <si>
    <t>Thu, 20 Feb 2025 00:00:00 GMT</t>
  </si>
  <si>
    <t>Fri, 21 Feb 2025 00:00:00 GMT</t>
  </si>
  <si>
    <t>Mon, 24 Feb 2025 00:00:00 GMT</t>
  </si>
  <si>
    <t>Tue, 25 Feb 2025 00:00:00 GMT</t>
  </si>
  <si>
    <t>Wed, 26 Feb 2025 00:00:00 GMT</t>
  </si>
  <si>
    <t>Thu, 27 Feb 2025 00:00:00 GMT</t>
  </si>
  <si>
    <t>Fri, 28 Feb 2025 00:00:00 GMT</t>
  </si>
  <si>
    <t>Mon, 03 Mar 2025 00:00:00 GMT</t>
  </si>
  <si>
    <t>Tue, 04 Mar 2025 00:00:00 GMT</t>
  </si>
  <si>
    <t>Wed, 05 Mar 2025 00:00:00 GMT</t>
  </si>
  <si>
    <t>Thu, 06 Mar 2025 00:00:00 GMT</t>
  </si>
  <si>
    <t>Fri, 07 Mar 2025 00:00:00 GMT</t>
  </si>
  <si>
    <t>Mon, 10 Mar 2025 00:00:00 GMT</t>
  </si>
  <si>
    <t>Tue, 11 Mar 2025 00:00:00 GMT</t>
  </si>
  <si>
    <t>Wed, 12 Mar 2025 00:00:00 GMT</t>
  </si>
  <si>
    <t>Thu, 13 Mar 2025 00:00:00 GMT</t>
  </si>
  <si>
    <t>Fri, 14 Mar 2025 00:00:00 GMT</t>
  </si>
  <si>
    <t>Mon, 17 Mar 2025 00:00:00 GMT</t>
  </si>
  <si>
    <t>Tue, 18 Mar 2025 00:00:00 GMT</t>
  </si>
  <si>
    <t>Wed, 19 Mar 2025 00:00:00 GMT</t>
  </si>
  <si>
    <t>Thu, 20 Mar 2025 00:00:00 GMT</t>
  </si>
  <si>
    <t>Fri, 21 Mar 2025 00:00:00 GMT</t>
  </si>
  <si>
    <t>Mon, 24 Mar 2025 00:00:00 GMT</t>
  </si>
  <si>
    <t>Tue, 25 Mar 2025 00:00:00 GMT</t>
  </si>
  <si>
    <t>Wed, 26 Mar 2025 00:00:00 GMT</t>
  </si>
  <si>
    <t>Thu, 27 Mar 2025 00:00:00 GMT</t>
  </si>
  <si>
    <t>Fri, 28 Mar 2025 00:00:00 GMT</t>
  </si>
  <si>
    <t>UTC Date</t>
  </si>
  <si>
    <t>Volume</t>
  </si>
  <si>
    <t>Open</t>
  </si>
  <si>
    <t>Low</t>
  </si>
  <si>
    <t>High</t>
  </si>
  <si>
    <t>Close</t>
  </si>
  <si>
    <t>Max</t>
  </si>
  <si>
    <t>Min</t>
  </si>
  <si>
    <t>SD σ</t>
  </si>
  <si>
    <t>Mean</t>
  </si>
  <si>
    <t>1D Change</t>
  </si>
  <si>
    <t>Apr</t>
  </si>
  <si>
    <t>July</t>
  </si>
  <si>
    <t>Oct</t>
  </si>
  <si>
    <t>Jan</t>
  </si>
  <si>
    <t>Quarterly</t>
  </si>
  <si>
    <t>Revenues</t>
  </si>
  <si>
    <t>Thrombectomy</t>
  </si>
  <si>
    <t>Ttl Revenues</t>
  </si>
  <si>
    <t>U.S. Revenues</t>
  </si>
  <si>
    <t>International Revenues</t>
  </si>
  <si>
    <t>Total Revenue Growth Y/y</t>
  </si>
  <si>
    <t>Thrombectomy % of Ttl Revenues</t>
  </si>
  <si>
    <t>E &amp; A % of Ttl Revenues</t>
  </si>
  <si>
    <t>Thrombectomy Revenue Growth Y/y</t>
  </si>
  <si>
    <t>E &amp; A  Revenue Growth Y/y</t>
  </si>
  <si>
    <t>U.S. % of Ttl Revenues</t>
  </si>
  <si>
    <t>International % of Ttl Revenues</t>
  </si>
  <si>
    <t>U.S. Revenue Growth Y/y</t>
  </si>
  <si>
    <t>International Revenue Growth Y/y</t>
  </si>
  <si>
    <t>GP</t>
  </si>
  <si>
    <t>R&amp;D</t>
  </si>
  <si>
    <t>SG&amp;A</t>
  </si>
  <si>
    <t>Acquired In-Process R&amp;D</t>
  </si>
  <si>
    <t>Impairment Charges</t>
  </si>
  <si>
    <t>Operating Income</t>
  </si>
  <si>
    <t>Interest and Other Income, net</t>
  </si>
  <si>
    <t>Pretax Income</t>
  </si>
  <si>
    <t>SC</t>
  </si>
  <si>
    <t>EPS</t>
  </si>
  <si>
    <t>Cash &amp; C.E.s</t>
  </si>
  <si>
    <t>Marketable Investments</t>
  </si>
  <si>
    <t>A/R</t>
  </si>
  <si>
    <t>Inventories</t>
  </si>
  <si>
    <t>Prepaid Expenses</t>
  </si>
  <si>
    <t>PP&amp;E</t>
  </si>
  <si>
    <t>Financing Leases</t>
  </si>
  <si>
    <t>Operating Leases</t>
  </si>
  <si>
    <t>Intangible Assets, net</t>
  </si>
  <si>
    <t>Goodwill</t>
  </si>
  <si>
    <t>Other LT Assets</t>
  </si>
  <si>
    <t>Ttl Assets</t>
  </si>
  <si>
    <t>A/P</t>
  </si>
  <si>
    <t>Accrued Liabilities</t>
  </si>
  <si>
    <t>Current Operating Lease Liabilities</t>
  </si>
  <si>
    <t>Current Finance Lease Liabilities</t>
  </si>
  <si>
    <t>Non-current Operating Lease Liabilities</t>
  </si>
  <si>
    <t>Non-current Finance Lease Liabilities</t>
  </si>
  <si>
    <t>Other Liabilities</t>
  </si>
  <si>
    <t>SE</t>
  </si>
  <si>
    <t>Ttl L + SE</t>
  </si>
  <si>
    <r>
      <t xml:space="preserve">the </t>
    </r>
    <r>
      <rPr>
        <b/>
        <sz val="11"/>
        <color theme="1"/>
        <rFont val="Calibre"/>
      </rPr>
      <t>Thrombectomy</t>
    </r>
    <r>
      <rPr>
        <sz val="11"/>
        <color theme="1"/>
        <rFont val="Calibre"/>
      </rPr>
      <t xml:space="preserve"> market (entered 2007)</t>
    </r>
  </si>
  <si>
    <r>
      <t xml:space="preserve">the </t>
    </r>
    <r>
      <rPr>
        <b/>
        <sz val="11"/>
        <color theme="1"/>
        <rFont val="Calibre"/>
      </rPr>
      <t>Access</t>
    </r>
    <r>
      <rPr>
        <sz val="11"/>
        <color theme="1"/>
        <rFont val="Calibre"/>
      </rPr>
      <t xml:space="preserve"> market (entered 2008)</t>
    </r>
  </si>
  <si>
    <r>
      <t xml:space="preserve">the </t>
    </r>
    <r>
      <rPr>
        <b/>
        <sz val="11"/>
        <color theme="1"/>
        <rFont val="Calibre"/>
      </rPr>
      <t>Embolization</t>
    </r>
    <r>
      <rPr>
        <sz val="11"/>
        <color theme="1"/>
        <rFont val="Calibre"/>
      </rPr>
      <t xml:space="preserve"> market (entered 2011)</t>
    </r>
  </si>
  <si>
    <r>
      <t xml:space="preserve">the </t>
    </r>
    <r>
      <rPr>
        <b/>
        <sz val="11"/>
        <color theme="1"/>
        <rFont val="Calibre"/>
      </rPr>
      <t>Neurosurgical</t>
    </r>
    <r>
      <rPr>
        <sz val="11"/>
        <color theme="1"/>
        <rFont val="Calibre"/>
      </rPr>
      <t xml:space="preserve"> market (entered 2014)</t>
    </r>
  </si>
  <si>
    <t>-</t>
  </si>
  <si>
    <t>Thrombosis: Thrombosis is the formation of a blood clot (thrombus) inside a blood vessel, obstructing blood flow</t>
  </si>
  <si>
    <r>
      <t xml:space="preserve">Can occur in arteries </t>
    </r>
    <r>
      <rPr>
        <b/>
        <sz val="11"/>
        <color theme="1"/>
        <rFont val="Calibre"/>
      </rPr>
      <t>(arterial thrombosis)</t>
    </r>
    <r>
      <rPr>
        <sz val="11"/>
        <color theme="1"/>
        <rFont val="Calibre"/>
      </rPr>
      <t xml:space="preserve"> or veins </t>
    </r>
    <r>
      <rPr>
        <b/>
        <sz val="11"/>
        <color theme="1"/>
        <rFont val="Calibre"/>
      </rPr>
      <t>(venous thrombosis)</t>
    </r>
    <r>
      <rPr>
        <sz val="11"/>
        <color theme="1"/>
        <rFont val="Calibre"/>
      </rPr>
      <t xml:space="preserve"> &lt;-- Penumbra's product are FDA-approved for arterial cases, but have been used off-label for </t>
    </r>
    <r>
      <rPr>
        <b/>
        <sz val="11"/>
        <color theme="1"/>
        <rFont val="Calibre"/>
      </rPr>
      <t>DVT/PE</t>
    </r>
    <r>
      <rPr>
        <sz val="11"/>
        <color theme="1"/>
        <rFont val="Calibre"/>
      </rPr>
      <t xml:space="preserve"> in some cases </t>
    </r>
  </si>
  <si>
    <t>The Company expects to continue developing and building a portfolio of products, including thrombectomy, embolization and access technologies, while iterating on currently available products</t>
  </si>
  <si>
    <t>Similar to BioPharma, economic returns decline once a treatment option "goes generic," or a newer, more effective form of treatment is developed/commercialized</t>
  </si>
  <si>
    <r>
      <t xml:space="preserve">Generally, </t>
    </r>
    <r>
      <rPr>
        <b/>
        <sz val="11"/>
        <color theme="1"/>
        <rFont val="Calibre"/>
      </rPr>
      <t xml:space="preserve">when introducing a next generation product </t>
    </r>
    <r>
      <rPr>
        <sz val="11"/>
        <color theme="1"/>
        <rFont val="Calibre"/>
      </rPr>
      <t xml:space="preserve">or a new product designed to replace a current product, </t>
    </r>
    <r>
      <rPr>
        <b/>
        <sz val="11"/>
        <color theme="1"/>
        <rFont val="Calibre"/>
      </rPr>
      <t>sales of the earlier generation product or the product replaced decline</t>
    </r>
  </si>
  <si>
    <t>The Company's research and development activities are centered around development of new products and clinical activities designed to support regulatory submissions and demonstrate product efficacy to regulating bodies and medical professionals</t>
  </si>
  <si>
    <t>Markets:</t>
  </si>
  <si>
    <t>The Company concentrates on improving treatment outcomes for patients with certain forms of vascular disease</t>
  </si>
  <si>
    <t>Vascular disease refers to any condition that affects the circulatory system and typically manifests as a blockage or rupture of an artery or a vein</t>
  </si>
  <si>
    <t>Thrombectomy Market:</t>
  </si>
  <si>
    <t>Studies have shown that patients treated with mechanical thrombectomy had improved functional outcomes compared with treatments such as tissue-type plasminogen activator (tPA) alone</t>
  </si>
  <si>
    <t>Deep Vein Thrombosis ("DVT"):</t>
  </si>
  <si>
    <t>Acute Limb Ischemia ("ALI"):</t>
  </si>
  <si>
    <t>Ischemic Stroke:</t>
  </si>
  <si>
    <t>PE is a condition that occurs when blood clots, which typically travel from the veins in the legs, get caught in the lungs</t>
  </si>
  <si>
    <t>Embolism: An embolism occurs when a blood clot (thrombus), air bubble, fat globule, or other foreign material travels through the bloodstream and lodges in a blood vessel, blocking blood flow.</t>
  </si>
  <si>
    <t>Thrombus/I : A clot that forms and remains in place inside a blood vessel</t>
  </si>
  <si>
    <t>Embolization and Access Market:</t>
  </si>
  <si>
    <t>Aneurysm:</t>
  </si>
  <si>
    <t xml:space="preserve">Hemorrhagic Stroke: </t>
  </si>
  <si>
    <t>Accessing the brain through the tortuous neurovasculature has been a substantial challenge for physicians treating vascular disorders in the brain</t>
  </si>
  <si>
    <t>Companies that developed catheters and other products for neurovascular applications historically leveraged technologies developed for use in coronary or peripheral vascular interventions</t>
  </si>
  <si>
    <t>This approach created challenges given the vastly different anatomy, structure and sizing of the neurovascular vessels.</t>
  </si>
  <si>
    <t>U.S. # of PEs per year:</t>
  </si>
  <si>
    <t>Clot from Arteriovenous Graft or Fistula:</t>
  </si>
  <si>
    <t>DVT occurs when a clot forms in a deep vein, usually in the leg and sometimes in the arm</t>
  </si>
  <si>
    <t>ALI occurs when the leg experiences an occlusion in an artery, caused either by a blood clot in the artery or by emboli from the heart or another place within the body that travel to the leg and cause an occlusion</t>
  </si>
  <si>
    <t>Nearly 800,000 strokes occur annually, and lead to approximately 150,000 deaths per year.</t>
  </si>
  <si>
    <t>ACS includes various conditions associated with sudden, reduced blood flow to the heart</t>
  </si>
  <si>
    <t>Arteriovenous grafts or fistulas are created for access to dialyze the blood of patients with end-stage renal disease.</t>
  </si>
  <si>
    <t>It is common for clots to form within these access vessels when patients undergo dialysis long-term</t>
  </si>
  <si>
    <r>
      <t>T</t>
    </r>
    <r>
      <rPr>
        <b/>
        <sz val="11"/>
        <color theme="1"/>
        <rFont val="Calibre"/>
      </rPr>
      <t>he Company classifies end markets according to the anatomic location</t>
    </r>
    <r>
      <rPr>
        <sz val="11"/>
        <color theme="1"/>
        <rFont val="Calibre"/>
      </rPr>
      <t xml:space="preserve"> of the disorder and </t>
    </r>
    <r>
      <rPr>
        <b/>
        <sz val="11"/>
        <color theme="1"/>
        <rFont val="Calibre"/>
      </rPr>
      <t>divides them into two</t>
    </r>
    <r>
      <rPr>
        <sz val="11"/>
        <color theme="1"/>
        <rFont val="Calibre"/>
      </rPr>
      <t xml:space="preserve"> categories:</t>
    </r>
  </si>
  <si>
    <r>
      <rPr>
        <b/>
        <sz val="11"/>
        <color theme="1"/>
        <rFont val="Calibre"/>
      </rPr>
      <t>Vascular</t>
    </r>
    <r>
      <rPr>
        <sz val="11"/>
        <color theme="1"/>
        <rFont val="Calibre"/>
      </rPr>
      <t>, which included peripheral vascular and cardiovascular.</t>
    </r>
  </si>
  <si>
    <r>
      <rPr>
        <b/>
        <sz val="11"/>
        <color theme="1"/>
        <rFont val="Calibre"/>
      </rPr>
      <t>Thrombectomy</t>
    </r>
    <r>
      <rPr>
        <sz val="11"/>
        <color theme="1"/>
        <rFont val="Calibre"/>
      </rPr>
      <t>, which includes products that treat conditions such as pulmonary embolism, deep vein thrombosis, acute limb ischemia, ischemic stroke and coronary disease</t>
    </r>
  </si>
  <si>
    <t>High- and intermediate-risk PEs, which are generally eligible for treatment with mechanical or computer assisted vacuum thrombectomy, represent approximately 44% of such PEs, or approximately 150,000 U.S. patients</t>
  </si>
  <si>
    <t>One such condition is a heart attack (acute myocardial infarction or “AMI”), when cell death results in damaged or destroyed heart tissue. Heart attacks can often be associated with high thrombus burden in the coronary arteries</t>
  </si>
  <si>
    <t>Approximately 8.5 million AMIs occur annually and there are approximately 23.5 million AMI survivors worldwide</t>
  </si>
  <si>
    <t>In the U.S., there are approximately 500,000 AMIs per year causing approximately 350,000 annual deaths according to the American Heart Association.</t>
  </si>
  <si>
    <t>If a patient has had an aneurysm, there is a 20% likelihood that the patient will have one or more additional aneurysms</t>
  </si>
  <si>
    <t>The primary endovascular procedure for treating unruptured aneurysms uses a repair technique called embolization, in which the aneurysm is packed with coils in a minimally invasive procedure</t>
  </si>
  <si>
    <t>Brain aneurysms and arteriovenous malformations (“AVM”) can both cause hemorrhagic stroke</t>
  </si>
  <si>
    <t>Hemorrhagic strokes, caused by the sudden rupture of a brain artery that leads to bleeding into or around the brain, represent approximately 13% of strokes in the United States</t>
  </si>
  <si>
    <t>According to independent sources, every year 0.5% to 3.0% of people with a brain aneurysm and 1.0% to 3.0% of people with an AVM may suffer from bleeding</t>
  </si>
  <si>
    <t>According to the AHA and ASA, once a brain aneurysm or an AVM bleeds, the chance of death is 30% to 40% and 10% to 15%, respectively</t>
  </si>
  <si>
    <t>Intracerebral hemorrhage, a type of hemorrhagic stroke, occurs when a vessel within the brain bursts, allowing blood to leak inside the brain</t>
  </si>
  <si>
    <t>Product Portfolio Scope:</t>
  </si>
  <si>
    <t>Product Families</t>
  </si>
  <si>
    <t>Pulmonary Embolism ("PE"):</t>
  </si>
  <si>
    <t>Key Product Brands</t>
  </si>
  <si>
    <t>Indigo System</t>
  </si>
  <si>
    <t>Lightning</t>
  </si>
  <si>
    <t>Bolt</t>
  </si>
  <si>
    <t>Cat RX</t>
  </si>
  <si>
    <t>Penumbra System</t>
  </si>
  <si>
    <t>Penumbra RED, SENDit, JET, ACE, BMX, and MAX catheters</t>
  </si>
  <si>
    <t>3D Revascularization Device</t>
  </si>
  <si>
    <t>Penumbra Engine and other components and accessories</t>
  </si>
  <si>
    <t>Ruby Coil System</t>
  </si>
  <si>
    <t>Ruby LP</t>
  </si>
  <si>
    <t>Lantern</t>
  </si>
  <si>
    <t>POD (Penumbra Occlusion Device)</t>
  </si>
  <si>
    <t>Packing Coil</t>
  </si>
  <si>
    <t>Packing Coil LP</t>
  </si>
  <si>
    <t>Penumbra Coil 400</t>
  </si>
  <si>
    <t>POD400</t>
  </si>
  <si>
    <t>PAC400</t>
  </si>
  <si>
    <t>Penumbra SMART COIL</t>
  </si>
  <si>
    <t>SwiftPAC Coil</t>
  </si>
  <si>
    <t>Neuron</t>
  </si>
  <si>
    <t>Neuron Max</t>
  </si>
  <si>
    <t>BENCHMARK</t>
  </si>
  <si>
    <t>BMX</t>
  </si>
  <si>
    <t>DDC</t>
  </si>
  <si>
    <t>PX SLIM</t>
  </si>
  <si>
    <t>MIDWAY</t>
  </si>
  <si>
    <t>Artemis Neuro Evacuation Device</t>
  </si>
  <si>
    <t>Peripheral</t>
  </si>
  <si>
    <t>Neuro</t>
  </si>
  <si>
    <t xml:space="preserve">Peripheral </t>
  </si>
  <si>
    <t>Embolization</t>
  </si>
  <si>
    <t>Access</t>
  </si>
  <si>
    <t>Neurosurgical Tools</t>
  </si>
  <si>
    <t>Manufacturing:</t>
  </si>
  <si>
    <t>Sales and Marketing:</t>
  </si>
  <si>
    <t>Look into product sales cycles</t>
  </si>
  <si>
    <t>U.S. # of DVTs per year:</t>
  </si>
  <si>
    <t>U.S. # of ALIs per year:</t>
  </si>
  <si>
    <t>U.S. # of strokes per year:</t>
  </si>
  <si>
    <t>Intl. # of strokes per year:</t>
  </si>
  <si>
    <t>Intl. # of ALIs per year:</t>
  </si>
  <si>
    <t>Intl. # of DVTs per year:</t>
  </si>
  <si>
    <t>Intl. # of PEs per year:</t>
  </si>
  <si>
    <r>
      <rPr>
        <b/>
        <sz val="11"/>
        <color theme="1"/>
        <rFont val="Calibre"/>
      </rPr>
      <t>Thrombectomy</t>
    </r>
    <r>
      <rPr>
        <sz val="11"/>
        <color theme="1"/>
        <rFont val="Calibre"/>
      </rPr>
      <t>: Interventional radiologists, interventional neuroradiologists, vascular surgeons, neurosurgeons, interventional cardiologists and interventional neurologists</t>
    </r>
  </si>
  <si>
    <t>Competition:</t>
  </si>
  <si>
    <t>The medical device industry is intensely competitive, subject to rapid change and significantly affected by new product introductions and other market activities of industry participants.</t>
  </si>
  <si>
    <t>Boston Scientific</t>
  </si>
  <si>
    <t>Inari Medical</t>
  </si>
  <si>
    <t>Medtronic</t>
  </si>
  <si>
    <t>Stryker</t>
  </si>
  <si>
    <t>Johnson and Johnson</t>
  </si>
  <si>
    <t>Ticker:</t>
  </si>
  <si>
    <t>Public Competitors:</t>
  </si>
  <si>
    <t>BSX</t>
  </si>
  <si>
    <t xml:space="preserve">NARI </t>
  </si>
  <si>
    <t>https://pubmed.ncbi.nlm.nih.gov/?term=Penumbra+Inc</t>
  </si>
  <si>
    <t>SO</t>
  </si>
  <si>
    <t xml:space="preserve">Embolization </t>
  </si>
  <si>
    <t>&amp; Access</t>
  </si>
  <si>
    <t>Private Competitors:</t>
  </si>
  <si>
    <t>MDT</t>
  </si>
  <si>
    <t>JNJ</t>
  </si>
  <si>
    <t>Imperative Care</t>
  </si>
  <si>
    <t>SILK</t>
  </si>
  <si>
    <t>Silk Road Medical</t>
  </si>
  <si>
    <t>Rapid Medical</t>
  </si>
  <si>
    <t>Vesalio</t>
  </si>
  <si>
    <t>In addition to direct sales organizations, The Company works with distributors in certain geographic areas, having determined that selling through distributors is likely to be more effective</t>
  </si>
  <si>
    <t>The principal specialist physicians and other healthcare providers in The Company's target end markets include:</t>
  </si>
  <si>
    <t>The Company currently sells products in the United States through a dedicated "in-house" salesforce</t>
  </si>
  <si>
    <t>The Company sells products directly in the United States, most of Europe, Canada and Australia, subject to required regulatory clearances and approvals</t>
  </si>
  <si>
    <t>Some of the advantages competing firms have:</t>
  </si>
  <si>
    <t>Significantly greater name recognition</t>
  </si>
  <si>
    <t>Broader or deeper relations with healthcare professionals, customers, group purchasing organizations, and third-party payors</t>
  </si>
  <si>
    <t>More established distribution networks</t>
  </si>
  <si>
    <t>Additional lines of products and the ability to offer rebates or bundle products to offer greater discounts or other incentives to gain a competitive advantage</t>
  </si>
  <si>
    <t>Greater experience in conducting research and development, manufacturing, clinical trials, marketing and obtaining regulatory clearance or approval for products</t>
  </si>
  <si>
    <t>Greater financial and human resources for product development, sales and marketing and patent litigation</t>
  </si>
  <si>
    <t>The Company's advantages depend on the continued ability to:</t>
  </si>
  <si>
    <t>Develop innovative, proprietary products that can cost-effectively address significant clinical needs</t>
  </si>
  <si>
    <t>Continue to innovate and develop scientifically advanced technology</t>
  </si>
  <si>
    <t>Obtain and maintain regulatory clearances or approvals</t>
  </si>
  <si>
    <t>Demonstrate safety and efficacy in Penumbra-sponsored and third-party clinical trials and studies</t>
  </si>
  <si>
    <t>Apply technology across product lines and markets</t>
  </si>
  <si>
    <t>Attract and retain skilled research and development and sales personnel</t>
  </si>
  <si>
    <t>Cost-effectively manufacture and successfully market and sell products</t>
  </si>
  <si>
    <t>Intellectual Property:</t>
  </si>
  <si>
    <t>SYK</t>
  </si>
  <si>
    <t>Penumbra Inc. (PEN)</t>
  </si>
  <si>
    <t>U.S. # of ACS per year:</t>
  </si>
  <si>
    <t>Intl. # of ACS per year:</t>
  </si>
  <si>
    <t>Government Regulation:</t>
  </si>
  <si>
    <t>United States</t>
  </si>
  <si>
    <t>Acute Coronary Syndrome ("ACS"):</t>
  </si>
  <si>
    <t>Medical devices are classified into three classes—Class I, Class II or Class III—depending on the degree of risk associated with each medical device and the extent of control needed to provide reasonable assurance of safety and effectiveness</t>
  </si>
  <si>
    <t>https://www.penumbrainc.com/about-us/leadership/</t>
  </si>
  <si>
    <t>Master</t>
  </si>
  <si>
    <t>European Union</t>
  </si>
  <si>
    <t>Other Regions</t>
  </si>
  <si>
    <t>As of December 31st, 2024, The Company had appx. 4,500 employees worldwide, with the majority of employees being in a manufacturing specialist role (blue collar)</t>
  </si>
  <si>
    <t xml:space="preserve">Manufacturing &amp; Operations appx. 30-40% </t>
  </si>
  <si>
    <t>Sales &amp; Clinical Support appx. 20-25%</t>
  </si>
  <si>
    <t xml:space="preserve">Regulatory &amp; Compliance appx. 10% </t>
  </si>
  <si>
    <t xml:space="preserve">Engineering &amp; R&amp;D appx. 25-30% </t>
  </si>
  <si>
    <t xml:space="preserve">&lt;- Acquired by Boston Scientific (Sep. 17, 2024) for ~$1.16 billion </t>
  </si>
  <si>
    <t>Gross Profit Margin</t>
  </si>
  <si>
    <t>Operating Profit Margin</t>
  </si>
  <si>
    <t>Net Profit Margin</t>
  </si>
  <si>
    <t>R&amp;D as % of Revenues</t>
  </si>
  <si>
    <t>CFFO</t>
  </si>
  <si>
    <t>CapEx</t>
  </si>
  <si>
    <t>FCF</t>
  </si>
  <si>
    <t>FCF per Share</t>
  </si>
  <si>
    <t>Institutional Ownership Snapshot (4/14/2025)</t>
  </si>
  <si>
    <t>Address: One Penumbra Place, 
Alameda, CA 94502</t>
  </si>
  <si>
    <t>Registered Exchange: NYSE</t>
  </si>
  <si>
    <t>Substantially all of The Company's research and development efforts are based out of the campus in Alameda, California</t>
  </si>
  <si>
    <t>Consolidated Net Income</t>
  </si>
  <si>
    <t>Net Income attr to PEN</t>
  </si>
  <si>
    <t xml:space="preserve">SG&amp;A as % of Revenues </t>
  </si>
  <si>
    <t>Goodwill remains only 10-15% of the balance sheet</t>
  </si>
  <si>
    <t>Commit to an inventory turnover model!!! Inventories are a large portion of the firms balance sheet and from my understanding have a costly and "limited" shelf life because they are medical products, require extra care ($) in storing the inventories on hand</t>
  </si>
  <si>
    <t>Return on Assets</t>
  </si>
  <si>
    <t>Return on Equity</t>
  </si>
  <si>
    <t>Inventory Turnover Ratio</t>
  </si>
  <si>
    <t>Current Ratio</t>
  </si>
  <si>
    <t>Quick Ratio</t>
  </si>
  <si>
    <t>Cash Ratio</t>
  </si>
  <si>
    <t>Ttl Asset Turnover</t>
  </si>
  <si>
    <t>Not much M&amp;A activity to gunk up that balance</t>
  </si>
  <si>
    <t>NPV</t>
  </si>
  <si>
    <t>FV</t>
  </si>
  <si>
    <t>CP</t>
  </si>
  <si>
    <t>ROIC</t>
  </si>
  <si>
    <t>There is slight implied upside to mean 1-day returns</t>
  </si>
  <si>
    <t>Clinical Trial/Product Channels</t>
  </si>
  <si>
    <t>The Company believes its ability to rapidly develop innovative products is in large part attributable to the fully integrated product innovation process that has been implemented, and the management philosophy behind that process.</t>
  </si>
  <si>
    <t>The Company currently maintains manufacturing facilities in Alameda and Roseville, California and currently produce substantially all products in-house.</t>
  </si>
  <si>
    <t>The Company competes with a number of manufacturers and distributors of neuro and vascular medical devices. Notable competitors include:</t>
  </si>
  <si>
    <t>Look into MedTech sales rep protocols. Does MedTech sales function similarly to biopharma reps?</t>
  </si>
  <si>
    <t>https://pubmed.ncbi.nlm.nih.gov/34706845/</t>
  </si>
  <si>
    <t>https://pubmed.ncbi.nlm.nih.gov/37084878/</t>
  </si>
  <si>
    <t>Common conditions The Company is focused on include:</t>
  </si>
  <si>
    <t>Since inception, The Company has introduced multiple brands in either the United States, international, or both markets</t>
  </si>
  <si>
    <t>In addition, The Company has recruited and retained engineers with a variety of backgrounds and experience to support the development of innovative therapies</t>
  </si>
  <si>
    <t>The Company believes they have adequate supplies or sources of availability of raw materials necessary to meet demand</t>
  </si>
  <si>
    <t>There are risks and uncertainties with respect to the supply of raw materials, particularly where provided by a single supplier, which could impact availability in sufficient quantities to meet The Company's needs</t>
  </si>
  <si>
    <t>In an effort to manage risk associated with raw materials supply, The Company works closely with suppliers to help ensure availability and continuity of supply while maintaining high quality and reliability</t>
  </si>
  <si>
    <t>The Company also utilizes long-term supply contracts with some suppliers to help maintain continuity of supply and manage the risk of price increases</t>
  </si>
  <si>
    <t>Where possible, The Company seeks second source suppliers or suppliers that have alternate manufacturing sites at which they could manufacture critical parts</t>
  </si>
  <si>
    <t>The Company has complemented it's direct sales organization with distributors in most international markets</t>
  </si>
  <si>
    <r>
      <t xml:space="preserve">In recent years, The Company has shifted towards education and learning hospital outreach for brand maintenance and continued outreach/expansion … </t>
    </r>
    <r>
      <rPr>
        <b/>
        <sz val="11"/>
        <color theme="1"/>
        <rFont val="Calibre"/>
      </rPr>
      <t>The Company seeks to demonstrate the efficacy of their superior technology when compared to competitors (primarily Inari's offering)</t>
    </r>
  </si>
  <si>
    <t>See in notes tab about pricing/long term economic returns of med tech products… does it follow similar suit to pharma, meaning rapid depreciation of asset FMV after the product line is innovated upon, or "goes generic" with competing firms entering the market once economic barriers are reduced</t>
  </si>
  <si>
    <t>The Company also competes with a number of smaller medical device companies that have single products or a limited range of products</t>
  </si>
  <si>
    <t>The Company competes primarily on the basis that their products are able to treat patients with neuro and vascular diseases and disorders and other health conditions safely and effectively</t>
  </si>
  <si>
    <t xml:space="preserve">Penumbra's Patent Catalog: </t>
  </si>
  <si>
    <t>https://www.penumbrainc.com/patents/</t>
  </si>
  <si>
    <t xml:space="preserve">U.S. Patent Search Tool: </t>
  </si>
  <si>
    <t>!Hey! I assisted The Company compile and submit their Sunshine Act filing during my winter '24 internship. Cool!</t>
  </si>
  <si>
    <t>Category</t>
  </si>
  <si>
    <t>Brief description of role</t>
  </si>
  <si>
    <t>Additionally, The Company owns or has rights to trademarks or trade names that are used in their business and in conjunction with the sale of their products, including 45 U.S. trademark registrations and 225 foreign trademark registrations as of December 31, 2024</t>
  </si>
  <si>
    <t xml:space="preserve">Med devices are a bit tougher of a market to learn than say beverage companies ... does that mean potentially greater arbitrage opportunity... or just a smaller pool of even more fierce competition? </t>
  </si>
  <si>
    <t>COGS</t>
  </si>
  <si>
    <t>https://www.sec.gov/edgar/browse/?CIK=1321732&amp;owner=exclude</t>
  </si>
  <si>
    <t xml:space="preserve">Godel Terminal </t>
  </si>
  <si>
    <r>
      <t>Embolization and Access</t>
    </r>
    <r>
      <rPr>
        <b/>
        <sz val="11"/>
        <color rgb="FF000000"/>
        <rFont val="Calibre"/>
      </rPr>
      <t>: </t>
    </r>
    <r>
      <rPr>
        <sz val="11"/>
        <color theme="1"/>
        <rFont val="Calibre"/>
      </rPr>
      <t>Neurosurgeons, interventional neuroradiologists, interventional neurologists, interventional radiologists, vascular surgeons and pediatric interventional cardiologists</t>
    </r>
  </si>
  <si>
    <t>PubMed/NIH reporting's</t>
  </si>
  <si>
    <t xml:space="preserve">As a consequence, they are able to spend more on product acquisition, development, marketing, sales and other product initiatives than The Company currently can facilitate … It has carved out a strong niche among these operators, and really does have the potentiality of "going big" </t>
  </si>
  <si>
    <t>I hope I get to visit some the engineering and manufacturing workspaces … the finance internship keeps me a bit couped up in the 3011 building unless I go out to the gym or Oscar's</t>
  </si>
  <si>
    <t>Thrombectomy:</t>
  </si>
  <si>
    <t>See Management scope tab for further details on company leadership structure</t>
  </si>
  <si>
    <r>
      <t xml:space="preserve">Most </t>
    </r>
    <r>
      <rPr>
        <b/>
        <sz val="11"/>
        <color theme="1"/>
        <rFont val="Calibre"/>
      </rPr>
      <t>endovascular</t>
    </r>
    <r>
      <rPr>
        <sz val="11"/>
        <color theme="1"/>
        <rFont val="Calibre"/>
      </rPr>
      <t xml:space="preserve"> procedures</t>
    </r>
    <r>
      <rPr>
        <b/>
        <sz val="11"/>
        <color theme="1"/>
        <rFont val="Calibre"/>
      </rPr>
      <t xml:space="preserve"> require access to the diseased area</t>
    </r>
    <r>
      <rPr>
        <sz val="11"/>
        <color theme="1"/>
        <rFont val="Calibre"/>
      </rPr>
      <t xml:space="preserve"> using </t>
    </r>
    <r>
      <rPr>
        <b/>
        <sz val="11"/>
        <color theme="1"/>
        <rFont val="Calibre"/>
      </rPr>
      <t>guidewires and catheters</t>
    </r>
  </si>
  <si>
    <r>
      <t xml:space="preserve">While reliable third-party data is not available for many markets outside the United States, </t>
    </r>
    <r>
      <rPr>
        <b/>
        <sz val="11"/>
        <color theme="1"/>
        <rFont val="Calibre"/>
      </rPr>
      <t>The Company believes that there are substantial additional market opportunities for thrombectomy, and embolization and access products throughout the world.</t>
    </r>
  </si>
  <si>
    <t>The Company's research and development team has a track record of product innovation and significant product improvements … this is the lifeblood of an IP firm like Penumbra, who's flagship products ultimately do have a finite commercial lifespan and must be innovated/developed upon to retain long term revenues/cashflows</t>
  </si>
  <si>
    <t>Follow Up:</t>
  </si>
  <si>
    <t>Equity β (1-year avg.)</t>
  </si>
  <si>
    <t>Assumptions:</t>
  </si>
  <si>
    <t>Preface:</t>
  </si>
  <si>
    <t>Peer Group:</t>
  </si>
  <si>
    <t>CapEx = Dep. &amp; Am.</t>
  </si>
  <si>
    <t xml:space="preserve">ΔNWC = 0 </t>
  </si>
  <si>
    <t>Non-cash expenses</t>
  </si>
  <si>
    <t>SG&amp;A expenses begin to tail off as a % of revenues (applying simple theory that as revenue growth takes off, fixed costs remain relatively the same/grow at a lower rate than revenues)</t>
  </si>
  <si>
    <t>Future CapEx investment + differentiating maintenance v. investment CapEx</t>
  </si>
  <si>
    <t>Track inventory write-offs on Stmt of Cash Flow … develop further inference processes with time</t>
  </si>
  <si>
    <t>https://www.sec.gov/Archives/edgar/data/1321732/000114036125014193/ef20047412_ars.pdf</t>
  </si>
  <si>
    <t>Penumbra IR snapshot</t>
  </si>
  <si>
    <t>Compensation + general background info</t>
  </si>
  <si>
    <t>Determine whether to employ a terminal rate or exit multiple method for the full DCF model</t>
  </si>
  <si>
    <t>The coming years mark an inflection point for The Company, as revenue growth normalizes and EPS/FCF growth is projected to accelerate at an unprecedented rate. The company is entering a maturity stage where:</t>
  </si>
  <si>
    <t>Additionally, while my current DCF model delivered a FMV in line with currently traded prices, I believe that Penumbra's intellectual property + potential for future innovations may not be fully captured/reflected in medium term. I would attribute an additional premium for its long-term productivity edge (seen in the higher terminal rate figure).</t>
  </si>
  <si>
    <r>
      <t xml:space="preserve">A DCF model's accuracy hinges on deriving an NPV from </t>
    </r>
    <r>
      <rPr>
        <i/>
        <sz val="11"/>
        <color theme="1"/>
        <rFont val="Calibre"/>
      </rPr>
      <t>projected</t>
    </r>
    <r>
      <rPr>
        <sz val="11"/>
        <color theme="1"/>
        <rFont val="Calibre"/>
      </rPr>
      <t xml:space="preserve"> </t>
    </r>
    <r>
      <rPr>
        <i/>
        <sz val="11"/>
        <color theme="1"/>
        <rFont val="Calibre"/>
      </rPr>
      <t>cash flows</t>
    </r>
    <r>
      <rPr>
        <sz val="11"/>
        <color theme="1"/>
        <rFont val="Calibre"/>
      </rPr>
      <t>... not GAAP compliant net income, which includes</t>
    </r>
    <r>
      <rPr>
        <b/>
        <sz val="11"/>
        <color theme="1"/>
        <rFont val="Calibre"/>
      </rPr>
      <t xml:space="preserve"> non-cash expenses (D&amp;A) and does not consider CapEx demand nor changes in working capital </t>
    </r>
    <r>
      <rPr>
        <sz val="11"/>
        <color theme="1"/>
        <rFont val="Calibre"/>
      </rPr>
      <t>(large cash account outflows)</t>
    </r>
  </si>
  <si>
    <t>Margins continue to expand  (with no noise on a Y/y basis) as revenues mature … company is able to continue innovating and developing a competitive product mix</t>
  </si>
  <si>
    <t>Build out models for long term outcome potentiality ("High IP value + cont. innovation" v. "generic competitor" outcomes for Penumbra in the long run?)</t>
  </si>
  <si>
    <t>Closing remarks:</t>
  </si>
  <si>
    <t>This net income to NPV shortcut approach assumes absolutely perfect FCF conversion, which is far from realistic for a still-growing firm like Penumbra</t>
  </si>
  <si>
    <t>Strategies to improve model's efficacy:</t>
  </si>
  <si>
    <t>Zero debt leverage -- Double edged sword</t>
  </si>
  <si>
    <t xml:space="preserve">Missed opportunity? to access credit markets and lock in low rate bond offerings (like so many of the big tech companies)… </t>
  </si>
  <si>
    <t>Effective Tax Rate</t>
  </si>
  <si>
    <t>Tax Expense (Benefit)</t>
  </si>
  <si>
    <t xml:space="preserve">Despite the company's more limited operating footprint at the time, debt markets presented an attractive opportunity for low-cost capital pre FED hike cycle beg. 2022. </t>
  </si>
  <si>
    <t xml:space="preserve">The Firm's quick ratio is &gt;3x current liabilities, which alleviated some of my initial concerns. The quick ratio calculations confirm there are no near-term solvency concerns… Tracking potential inventory overhangs/changes in working capital will still be critical as the firm scales </t>
  </si>
  <si>
    <t xml:space="preserve">Compare The Company's days inventory outstanding (DIO) with competing firms. Look for outliers. </t>
  </si>
  <si>
    <t>(ii) General product complexity (similar to a manufacturing firm having higher proportions of PP&amp;E due to heavy machinery demand)</t>
  </si>
  <si>
    <t>(iii) Lengthy sales cycles with client base (hospital budgets with little slack)</t>
  </si>
  <si>
    <t>(look into other reasons why this is a feature of the sector)</t>
  </si>
  <si>
    <t xml:space="preserve">In general, The Companies balance sheet is pristine, but inventory turnover and product mix are critical swing factors which will be important to track periodically. </t>
  </si>
  <si>
    <t xml:space="preserve">Compare to competitors/other med-tech firms; I could just be used to other sector comps, which have much less inventory on hand … requires further research </t>
  </si>
  <si>
    <t>Revenues:</t>
  </si>
  <si>
    <t>RFR (10-year yield)</t>
  </si>
  <si>
    <t>Deferred Tax Assets</t>
  </si>
  <si>
    <t>Learn more about R&amp;D initiatives and gauge whether to capitalize R&amp;D on the balance sheet over a useful life</t>
  </si>
  <si>
    <t xml:space="preserve">Additionally, working to capture qualitative factors in the valuation (IP/innovation runway, product's standing as flagship in the space( taking dominant market share), management strategy, etc.) will increase accuracy.  </t>
  </si>
  <si>
    <t>No debt (equity holders are junior to no other stakeholder) = No interest expenses, no refinancing risk exposure (unlike many of The Company's larger competitors), and well positioned for future strategic moves (M&amp;A, R&amp;D expansion, share buybacks and other vehicles to increase shareholder returns)</t>
  </si>
  <si>
    <t>(I) Regulatory buffers enforced by health agencies (FDA-mandated safety stock on critical parts)</t>
  </si>
  <si>
    <t>Build a reverse DCF model to back out implied market expectations; stress test expectations and compare to competing firms in the sector</t>
  </si>
  <si>
    <t>Compare consensus FCF growth rates to management guidance and peer benchmarks… e.g. If current price implies 10% long-term FCF growth, but peers are trading at 15%+ assumed growth, the market may be conservative on The Firm's value</t>
  </si>
  <si>
    <t>Office expansion with Alameda campus during the Pandemic + entrance into Roseville, Livermore sites (all of which have reached full operating capacity)</t>
  </si>
  <si>
    <t>[Add to this list to highlight other initiatives]</t>
  </si>
  <si>
    <t>Will be important to track retaliatory tariffs, although international markets have been a shrinking portion of revenues for The Company, and the Chinese business has already been heavily discounted by the market well before federal policy came into play</t>
  </si>
  <si>
    <t xml:space="preserve">Margins projected to rapidly expand in the coming years, driving earnings and FCF growth </t>
  </si>
  <si>
    <t xml:space="preserve">Non-cash expenses (D&amp;A) have been balancing out with PP&amp;E spend in recent quarters, which could suggest a stabilization in the firms capital investment intensity </t>
  </si>
  <si>
    <t>General Notes/Observations (Updated Q1'25)</t>
  </si>
  <si>
    <t>Financial Stmts. Notes/Observations (Updated Q1'25)</t>
  </si>
  <si>
    <t>Public Management Scope Recources:</t>
  </si>
  <si>
    <t>The Company's success depends in part on it's ability to protect proprietary technology and intellectual property and operate without infringing the patents and other proprietary rights of third parties</t>
  </si>
  <si>
    <t>The Company relies on a combination of patent, trademark, trade secret, copyright and other intellectual property rights and measures to protect intellectual property rights that are considered important to The Company's interests</t>
  </si>
  <si>
    <t>The Company also relies on know-how and continuing technological innovation to develop and maintain it's competitive position in the markets it operates in</t>
  </si>
  <si>
    <t>The Company does not have any material licenses to any technology or intellectual property rights</t>
  </si>
  <si>
    <t>Domestic Patents</t>
  </si>
  <si>
    <t>Ttl Issued Patents</t>
  </si>
  <si>
    <t>Intl. Patents</t>
  </si>
  <si>
    <t>issued</t>
  </si>
  <si>
    <t>Current IP Assets:</t>
  </si>
  <si>
    <t>IP Application Pipeline</t>
  </si>
  <si>
    <t>Ttl Pending Patent Apps.</t>
  </si>
  <si>
    <t>Terminal</t>
  </si>
  <si>
    <t>Discount (Cost of Equity)</t>
  </si>
  <si>
    <t>IP Expiries (2025 - 2026)</t>
  </si>
  <si>
    <t>13 of these patents relate to components of the Penumbra System and the Indigo System (flagship thrombectomy products)</t>
  </si>
  <si>
    <t>Patents Set to Expire</t>
  </si>
  <si>
    <t>The Company will be able to meet all U.S. demand with domestic manufacturing, allowing for margins to remain relatively unaffected by current trade policy debacles…</t>
  </si>
  <si>
    <t>Sequential gross margin improvements are anticipated in the second half of 2025</t>
  </si>
  <si>
    <t>The company expects Q2'25 gross margins to remain similar to or slightly lower than Q1, due to expedited manufacturing costs for Ruby XL</t>
  </si>
  <si>
    <t>Q1'25 thrombectomy revenues reached $226.5 million, an increase of 20.7% year-over-year, with U.S. thrombectomy contributing significantly to this growth. International thrombectomy increased 3.3%, excluding challenges in China</t>
  </si>
  <si>
    <t>Explosive NI/FCF growth projected for '25, '26, outpacing revenues as the firm matures into a profitability/earnings stage</t>
  </si>
  <si>
    <t>Global Thrombectomy Market Scope:</t>
  </si>
  <si>
    <t>Abbott Labs</t>
  </si>
  <si>
    <t>ABT</t>
  </si>
  <si>
    <t>AngioDynamics</t>
  </si>
  <si>
    <t>ANGO</t>
  </si>
  <si>
    <t>Cook Medical</t>
  </si>
  <si>
    <t>Edwards Lifesciences</t>
  </si>
  <si>
    <t>EW</t>
  </si>
  <si>
    <t>Koninklijke Philips N.V.</t>
  </si>
  <si>
    <t>Lemaitre Vascular</t>
  </si>
  <si>
    <t>LMAT</t>
  </si>
  <si>
    <t xml:space="preserve">Teleflex </t>
  </si>
  <si>
    <t>Terumo</t>
  </si>
  <si>
    <t>Acandis GmbH (German)</t>
  </si>
  <si>
    <t>Q1 2025 Earnings Call Transcript Scopes:</t>
  </si>
  <si>
    <t>Additional Notes:</t>
  </si>
  <si>
    <t>Japanese listing</t>
  </si>
  <si>
    <t>[click hyperlinks to access subsequent models]</t>
  </si>
  <si>
    <t xml:space="preserve">Argon Medical Devices </t>
  </si>
  <si>
    <t>Total est. ACS per year:</t>
  </si>
  <si>
    <t>Total est. strokes per year:</t>
  </si>
  <si>
    <t>Total est. ALIs per year:</t>
  </si>
  <si>
    <t>Total est. DVTs per year:</t>
  </si>
  <si>
    <t>Total est. PEs per year:</t>
  </si>
  <si>
    <t>16 Patents Set to Expire</t>
  </si>
  <si>
    <t>The Company believes these arrangements will allow them to monetize technology while helping to mitigate market risk</t>
  </si>
  <si>
    <t>Demonstrable innovative edge above competitors, with a pipeline of products in various stages of the FDA process</t>
  </si>
  <si>
    <t>Ttl revenues geographically continue to shift towards the US (at almost 80% of Ttl revenues as of Q1'25)</t>
  </si>
  <si>
    <t>FX headwinds are a real concern as dollar volatility begins to take its toll on internationally operating businesses</t>
  </si>
  <si>
    <t>Earnings Scope:</t>
  </si>
  <si>
    <t>ERP 
(Avg. market return - (less) RFR)</t>
  </si>
  <si>
    <t>Follow Up List:</t>
  </si>
  <si>
    <t>Product Snapshot:</t>
  </si>
  <si>
    <r>
      <rPr>
        <b/>
        <sz val="11"/>
        <color theme="1"/>
        <rFont val="Calibre"/>
      </rPr>
      <t>The thrombectomy market is comprised of vascular diseases</t>
    </r>
    <r>
      <rPr>
        <sz val="11"/>
        <color theme="1"/>
        <rFont val="Calibre"/>
      </rPr>
      <t xml:space="preserve"> and disorders occurring in vessels throughout the body, including ischemic stroke, VT such as pulmonary embolism, acute limb ischemia, DVT, coronary disease and other conditions</t>
    </r>
  </si>
  <si>
    <t>Balance Sheet Scope:</t>
  </si>
  <si>
    <t>Peripheral Thrombectomy Portfolio Scope:</t>
  </si>
  <si>
    <t>Regulatory Timeline &amp; Commercialization</t>
  </si>
  <si>
    <t xml:space="preserve">Stable corporate tax rate -- TCJA is not allowed to sunset this year and The Company must remain relatively unaffected by tariff regime policies </t>
  </si>
  <si>
    <t>The Company is only taxed at the federal corporate rate of 21% + California's 8.84% (does not consider any exotic tax circumstances)</t>
  </si>
  <si>
    <t>[click hyperlinks to access subsequent info]</t>
  </si>
  <si>
    <t>Most of The Company's customer relationships are with government entities (UK, China, other)</t>
  </si>
  <si>
    <t>The medical device market is highly competitive and is characterized by rapidly advancing technology</t>
  </si>
  <si>
    <t>The Company's success and growth depends, in part, on it's ability to anticipate technological advancements and competitive innovations and respond accordingly</t>
  </si>
  <si>
    <t xml:space="preserve">[Track FDA pipeline] </t>
  </si>
  <si>
    <r>
      <rPr>
        <b/>
        <sz val="11"/>
        <color theme="1"/>
        <rFont val="Calibre"/>
      </rPr>
      <t>Track R&amp;D pipeline</t>
    </r>
    <r>
      <rPr>
        <sz val="11"/>
        <color theme="1"/>
        <rFont val="Calibre"/>
      </rPr>
      <t xml:space="preserve"> + </t>
    </r>
    <r>
      <rPr>
        <b/>
        <sz val="11"/>
        <color theme="1"/>
        <rFont val="Calibre"/>
      </rPr>
      <t>search around</t>
    </r>
    <r>
      <rPr>
        <sz val="11"/>
        <color theme="1"/>
        <rFont val="Calibre"/>
      </rPr>
      <t xml:space="preserve"> the sector for </t>
    </r>
    <r>
      <rPr>
        <b/>
        <sz val="11"/>
        <color theme="1"/>
        <rFont val="Calibre"/>
      </rPr>
      <t>competing product offerings</t>
    </r>
    <r>
      <rPr>
        <sz val="11"/>
        <color theme="1"/>
        <rFont val="Calibre"/>
      </rPr>
      <t>… could be interesting M&amp;A prospects backed by future cash flow growth or equity raises</t>
    </r>
  </si>
  <si>
    <r>
      <rPr>
        <b/>
        <sz val="11"/>
        <color theme="1"/>
        <rFont val="Calibre"/>
      </rPr>
      <t>Product designs change often</t>
    </r>
    <r>
      <rPr>
        <sz val="11"/>
        <color theme="1"/>
        <rFont val="Calibre"/>
      </rPr>
      <t xml:space="preserve"> to adjust to shifting market preferences and other factors, and </t>
    </r>
    <r>
      <rPr>
        <b/>
        <sz val="11"/>
        <color theme="1"/>
        <rFont val="Calibre"/>
      </rPr>
      <t>therefore product life cycles are relatively short</t>
    </r>
  </si>
  <si>
    <t>Significant risk to the core business if:</t>
  </si>
  <si>
    <t>Managers are unsuccessful in identifying, developing or acquiring, and marketing new products or enhancing existing products</t>
  </si>
  <si>
    <t>Experience delays in any phase of a new product launch, including during research and development, clinical trials, regulatory review, manufacturing and marketing</t>
  </si>
  <si>
    <t>Current CEO: Adam Elsesser (Co-Founder)</t>
  </si>
  <si>
    <t>Mon, 31 Mar 2025 00:00:00 GMT</t>
  </si>
  <si>
    <t>Tue, 01 Apr 2025 00:00:00 GMT</t>
  </si>
  <si>
    <t>Wed, 02 Apr 2025 00:00:00 GMT</t>
  </si>
  <si>
    <t>Thu, 03 Apr 2025 00:00:00 GMT</t>
  </si>
  <si>
    <t>Fri, 04 Apr 2025 00:00:00 GMT</t>
  </si>
  <si>
    <t>Mon, 07 Apr 2025 00:00:00 GMT</t>
  </si>
  <si>
    <t>Tue, 08 Apr 2025 00:00:00 GMT</t>
  </si>
  <si>
    <t>Wed, 09 Apr 2025 00:00:00 GMT</t>
  </si>
  <si>
    <t>Thu, 10 Apr 2025 00:00:00 GMT</t>
  </si>
  <si>
    <t>Fri, 11 Apr 2025 00:00:00 GMT</t>
  </si>
  <si>
    <t>Mon, 14 Apr 2025 00:00:00 GMT</t>
  </si>
  <si>
    <t>Tue, 15 Apr 2025 00:00:00 GMT</t>
  </si>
  <si>
    <t>Wed, 16 Apr 2025 00:00:00 GMT</t>
  </si>
  <si>
    <t>Thu, 17 Apr 2025 00:00:00 GMT</t>
  </si>
  <si>
    <t>Mon, 21 Apr 2025 00:00:00 GMT</t>
  </si>
  <si>
    <t>Tue, 22 Apr 2025 00:00:00 GMT</t>
  </si>
  <si>
    <t>Wed, 23 Apr 2025 00:00:00 GMT</t>
  </si>
  <si>
    <t>Thu, 24 Apr 2025 00:00:00 GMT</t>
  </si>
  <si>
    <t>Fri, 25 Apr 2025 00:00:00 GMT</t>
  </si>
  <si>
    <t>&lt;- Sortino Ratio (Downside Risk Adjusted Return)</t>
  </si>
  <si>
    <t>Median</t>
  </si>
  <si>
    <t>Highly volatility... yet relatively low correlation to the S&amp;P with a historical beta of just .56</t>
  </si>
  <si>
    <t>Tue, 29 Apr 2025 00:00:00 GMT</t>
  </si>
  <si>
    <t>Mon, 28 Apr 2025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</si>
  <si>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</si>
  <si>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</si>
  <si>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</si>
  <si>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</si>
  <si>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</si>
  <si>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</si>
  <si>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</si>
  <si>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</si>
  <si>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</si>
  <si>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</si>
  <si>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</si>
  <si>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</si>
  <si>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</si>
  <si>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</si>
  <si>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</si>
  <si>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</si>
  <si>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</si>
  <si>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</si>
  <si>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</si>
  <si>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</si>
  <si>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</si>
  <si>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</si>
  <si>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</si>
  <si>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</si>
  <si>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</si>
  <si>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</si>
  <si>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</si>
  <si>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</si>
  <si>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</si>
  <si>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</si>
  <si>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</si>
  <si>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</si>
  <si>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</si>
  <si>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</si>
  <si>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</si>
  <si>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</si>
  <si>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</si>
  <si>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</si>
  <si>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</si>
  <si>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</si>
  <si>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</si>
  <si>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</si>
  <si>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</si>
  <si>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</si>
  <si>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</si>
  <si>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</si>
  <si>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</si>
  <si>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</si>
  <si>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</si>
  <si>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</si>
  <si>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</si>
  <si>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</si>
  <si>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</si>
  <si>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</si>
  <si>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</si>
  <si>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</si>
  <si>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</si>
  <si>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</si>
  <si>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</si>
  <si>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</si>
  <si>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</si>
  <si>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</si>
  <si>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</si>
  <si>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</si>
  <si>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</si>
  <si>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</si>
  <si>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</si>
  <si>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</si>
  <si>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</si>
  <si>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</si>
  <si>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</si>
  <si>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</si>
  <si>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</si>
  <si>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</si>
  <si>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</si>
  <si>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</si>
  <si>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</si>
  <si>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</si>
  <si>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</si>
  <si>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</si>
  <si>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</si>
  <si>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</si>
  <si>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</si>
  <si>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</si>
  <si>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</si>
  <si>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</si>
  <si>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</si>
  <si>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</si>
  <si>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</si>
  <si>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</si>
  <si>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</si>
  <si>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</si>
  <si>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</si>
  <si>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</si>
  <si>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</si>
  <si>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</si>
  <si>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</si>
  <si>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</si>
  <si>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</si>
  <si>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</si>
  <si>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</si>
  <si>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</si>
  <si>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</si>
  <si>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</si>
  <si>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</si>
  <si>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</si>
  <si>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</si>
  <si>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</si>
  <si>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</si>
  <si>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</si>
  <si>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</si>
  <si>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</si>
  <si>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</si>
  <si>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</si>
  <si>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</si>
  <si>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</si>
  <si>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</si>
  <si>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</si>
  <si>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</si>
  <si>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</si>
  <si>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</si>
  <si>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</si>
  <si>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</si>
  <si>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</si>
  <si>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</si>
  <si>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</si>
  <si>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</si>
  <si>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</si>
  <si>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</si>
  <si>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</si>
  <si>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</si>
  <si>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</si>
  <si>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</si>
  <si>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</si>
  <si>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</si>
  <si>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</si>
  <si>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</si>
  <si>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</si>
  <si>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</si>
  <si>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</si>
  <si>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</si>
  <si>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</si>
  <si>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</si>
  <si>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</si>
  <si>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</si>
  <si>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</si>
  <si>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</si>
  <si>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</si>
  <si>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</si>
  <si>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</si>
  <si>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</si>
  <si>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</si>
  <si>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</si>
  <si>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</si>
  <si>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</si>
  <si>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</si>
  <si>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</si>
  <si>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</si>
  <si>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</si>
  <si>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</si>
  <si>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</si>
  <si>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</si>
  <si>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</si>
  <si>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</si>
  <si>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</si>
  <si>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</si>
  <si>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</si>
  <si>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</si>
  <si>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</si>
  <si>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</si>
  <si>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</si>
  <si>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</si>
  <si>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</si>
  <si>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</si>
  <si>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</si>
  <si>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</si>
  <si>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</si>
  <si>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</si>
  <si>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</si>
  <si>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</si>
  <si>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</si>
  <si>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</si>
  <si>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</si>
  <si>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</si>
  <si>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</si>
  <si>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</si>
  <si>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</si>
  <si>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</si>
  <si>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</si>
  <si>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</si>
  <si>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</si>
  <si>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</si>
  <si>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</si>
  <si>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</si>
  <si>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</si>
  <si>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</si>
  <si>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</si>
  <si>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</si>
  <si>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</si>
  <si>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</si>
  <si>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</si>
  <si>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</si>
  <si>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</si>
  <si>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</si>
  <si>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</si>
  <si>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</si>
  <si>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</si>
  <si>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</si>
  <si>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</si>
  <si>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</si>
  <si>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</si>
  <si>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</si>
  <si>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</si>
  <si>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</si>
  <si>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</si>
  <si>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</si>
  <si>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</si>
  <si>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</si>
  <si>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</si>
  <si>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</si>
  <si>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</si>
  <si>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</si>
  <si>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</si>
  <si>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</si>
  <si>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</si>
  <si>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</si>
  <si>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</si>
  <si>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</si>
  <si>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</si>
  <si>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</si>
  <si>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</si>
  <si>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</si>
  <si>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</si>
  <si>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</si>
  <si>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</si>
  <si>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</si>
  <si>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</si>
  <si>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</si>
  <si>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</si>
  <si>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</si>
  <si>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</si>
  <si>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</si>
  <si>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</si>
  <si>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</si>
  <si>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</si>
  <si>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</si>
  <si>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</si>
  <si>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</si>
  <si>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</si>
  <si>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</si>
  <si>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</si>
  <si>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</si>
  <si>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</si>
  <si>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</si>
  <si>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</si>
  <si>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</si>
  <si>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</si>
  <si>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</si>
  <si>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</si>
  <si>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</si>
  <si>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</si>
  <si>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</si>
  <si>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</si>
  <si>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</si>
  <si>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</si>
  <si>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</si>
  <si>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</si>
  <si>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</si>
  <si>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</si>
  <si>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</si>
  <si>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</si>
  <si>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</si>
  <si>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</si>
  <si>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</si>
  <si>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</si>
  <si>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</si>
  <si>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</si>
  <si>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</si>
  <si>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</si>
  <si>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</si>
  <si>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</si>
  <si>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</si>
  <si>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</si>
  <si>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</si>
  <si>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</si>
  <si>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</si>
  <si>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</si>
  <si>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</si>
  <si>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</si>
  <si>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</si>
  <si>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</si>
  <si>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</si>
  <si>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</si>
  <si>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</si>
  <si>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</si>
  <si>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</si>
  <si>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</si>
  <si>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</si>
  <si>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</si>
  <si>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</si>
  <si>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</si>
  <si>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</si>
  <si>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</si>
  <si>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</si>
  <si>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</si>
  <si>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</si>
  <si>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</si>
  <si>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</si>
  <si>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</si>
  <si>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</si>
  <si>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</si>
  <si>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</si>
  <si>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</si>
  <si>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</si>
  <si>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</si>
  <si>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</si>
  <si>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</si>
  <si>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</si>
  <si>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</si>
  <si>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</si>
  <si>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</si>
  <si>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</si>
  <si>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</si>
  <si>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</si>
  <si>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</si>
  <si>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</si>
  <si>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</si>
  <si>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</si>
  <si>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</si>
  <si>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</si>
  <si>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</si>
  <si>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</si>
  <si>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</si>
  <si>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</si>
  <si>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</si>
  <si>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</si>
  <si>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</si>
  <si>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</si>
  <si>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</si>
  <si>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</si>
  <si>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</si>
  <si>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</si>
  <si>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</si>
  <si>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</si>
  <si>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</si>
  <si>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</si>
  <si>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</si>
  <si>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</si>
  <si>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</si>
  <si>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</si>
  <si>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</si>
  <si>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</si>
  <si>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</si>
  <si>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</si>
  <si>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</si>
  <si>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</si>
  <si>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</si>
  <si>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</si>
  <si>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</si>
  <si>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</si>
  <si>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</si>
  <si>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</si>
  <si>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</si>
  <si>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</si>
  <si>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</si>
  <si>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</si>
  <si>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</si>
  <si>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</si>
  <si>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</si>
  <si>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</si>
  <si>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</si>
  <si>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</si>
  <si>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</si>
  <si>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</si>
  <si>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</si>
  <si>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</si>
  <si>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</si>
  <si>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</si>
  <si>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</si>
  <si>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</si>
  <si>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</si>
  <si>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</si>
  <si>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</si>
  <si>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</si>
  <si>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</si>
  <si>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</si>
  <si>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</si>
  <si>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</si>
  <si>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</si>
  <si>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</si>
  <si>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</si>
  <si>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</si>
  <si>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</si>
  <si>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</si>
  <si>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</si>
  <si>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</si>
  <si>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</si>
  <si>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</si>
  <si>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</si>
  <si>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</si>
  <si>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</si>
  <si>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</si>
  <si>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</si>
  <si>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</si>
  <si>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</si>
  <si>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</si>
  <si>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</si>
  <si>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</si>
  <si>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</si>
  <si>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</si>
  <si>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</si>
  <si>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</si>
  <si>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</si>
  <si>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</si>
  <si>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</si>
  <si>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</si>
  <si>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</si>
  <si>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</si>
  <si>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</si>
  <si>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</si>
  <si>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</si>
  <si>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</si>
  <si>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</si>
  <si>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</si>
  <si>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</si>
  <si>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</si>
  <si>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</si>
  <si>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</si>
  <si>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</si>
  <si>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</si>
  <si>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</si>
  <si>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</si>
  <si>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</si>
  <si>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</si>
  <si>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</si>
  <si>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</si>
  <si>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</si>
  <si>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</si>
  <si>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</si>
  <si>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</si>
  <si>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</si>
  <si>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</si>
  <si>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</si>
  <si>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</si>
  <si>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</si>
  <si>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</si>
  <si>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</si>
  <si>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</si>
  <si>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</si>
  <si>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</si>
  <si>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</si>
  <si>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</si>
  <si>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</si>
  <si>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</si>
  <si>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</si>
  <si>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</si>
  <si>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</si>
  <si>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</si>
  <si>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</si>
  <si>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</si>
  <si>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</si>
  <si>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</si>
  <si>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</si>
  <si>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</si>
  <si>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</si>
  <si>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</si>
  <si>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</si>
  <si>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</si>
  <si>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</si>
  <si>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</si>
  <si>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</si>
  <si>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</si>
  <si>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</si>
  <si>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</si>
  <si>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</si>
  <si>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</si>
  <si>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</si>
  <si>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</si>
  <si>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</si>
  <si>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</si>
  <si>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</si>
  <si>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</si>
  <si>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</si>
  <si>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</si>
  <si>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</si>
  <si>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</si>
  <si>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</si>
  <si>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</si>
  <si>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</si>
  <si>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</si>
  <si>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</si>
  <si>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</si>
  <si>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</si>
  <si>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</si>
  <si>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</si>
  <si>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</si>
  <si>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</si>
  <si>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</si>
  <si>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</si>
  <si>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</si>
  <si>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</si>
  <si>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</si>
  <si>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</si>
  <si>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</si>
  <si>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</si>
  <si>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</si>
  <si>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</si>
  <si>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</si>
  <si>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</si>
  <si>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</si>
  <si>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</si>
  <si>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</si>
  <si>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</si>
  <si>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</si>
  <si>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</si>
  <si>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</si>
  <si>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</si>
  <si>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</si>
  <si>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</si>
  <si>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</si>
  <si>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</si>
  <si>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</si>
  <si>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</si>
  <si>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</si>
  <si>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</si>
  <si>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</si>
  <si>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</si>
  <si>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</si>
  <si>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</si>
  <si>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</si>
  <si>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</si>
  <si>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</si>
  <si>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</si>
  <si>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</si>
  <si>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</si>
  <si>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</si>
  <si>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</si>
  <si>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</si>
  <si>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</si>
  <si>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</si>
  <si>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</si>
  <si>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</si>
  <si>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</si>
  <si>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</si>
  <si>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</si>
  <si>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</si>
  <si>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</si>
  <si>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</si>
  <si>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</si>
  <si>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</si>
  <si>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</si>
  <si>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</si>
  <si>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</si>
  <si>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</si>
  <si>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</si>
  <si>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</si>
  <si>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</si>
  <si>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</si>
  <si>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</si>
  <si>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</si>
  <si>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</si>
  <si>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</si>
  <si>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</si>
  <si>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</si>
  <si>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</si>
  <si>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</si>
  <si>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</si>
  <si>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</si>
  <si>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</si>
  <si>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</si>
  <si>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</si>
  <si>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</si>
  <si>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</si>
  <si>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</si>
  <si>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</si>
  <si>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</si>
  <si>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</si>
  <si>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</si>
  <si>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</si>
  <si>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</si>
  <si>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</si>
  <si>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</si>
  <si>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</si>
  <si>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</si>
  <si>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</si>
  <si>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</si>
  <si>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</si>
  <si>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</si>
  <si>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</si>
  <si>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</si>
  <si>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</si>
  <si>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</si>
  <si>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</si>
  <si>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</si>
  <si>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</si>
  <si>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</si>
  <si>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</si>
  <si>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</si>
  <si>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</si>
  <si>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</si>
  <si>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</si>
  <si>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</si>
  <si>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</si>
  <si>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</si>
  <si>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</si>
  <si>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</si>
  <si>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</si>
  <si>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</si>
  <si>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</si>
  <si>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</si>
  <si>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</si>
  <si>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</si>
  <si>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</si>
  <si>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</si>
  <si>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</si>
  <si>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</si>
  <si>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</si>
  <si>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</si>
  <si>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</si>
  <si>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</si>
  <si>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</si>
  <si>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</si>
  <si>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</si>
  <si>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</si>
  <si>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</si>
  <si>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</si>
  <si>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</si>
  <si>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</si>
  <si>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</si>
  <si>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</si>
  <si>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</si>
  <si>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</si>
  <si>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</si>
  <si>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</si>
  <si>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</si>
  <si>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</si>
  <si>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</si>
  <si>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</si>
  <si>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</si>
  <si>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</si>
  <si>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</si>
  <si>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</si>
  <si>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</si>
  <si>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</si>
  <si>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</si>
  <si>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</si>
  <si>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</si>
  <si>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</si>
  <si>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</si>
  <si>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</si>
  <si>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</si>
  <si>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</si>
  <si>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</si>
  <si>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</si>
  <si>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</si>
  <si>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</si>
  <si>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</si>
  <si>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</si>
  <si>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</si>
  <si>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</si>
  <si>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</si>
  <si>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</si>
  <si>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</si>
  <si>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</si>
  <si>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</si>
  <si>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</si>
  <si>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</si>
  <si>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</si>
  <si>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</si>
  <si>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</si>
  <si>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</si>
  <si>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</si>
  <si>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</si>
  <si>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</si>
  <si>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</si>
  <si>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</si>
  <si>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</si>
  <si>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</si>
  <si>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</si>
  <si>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</si>
  <si>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</si>
  <si>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</si>
  <si>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</si>
  <si>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</si>
  <si>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</si>
  <si>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</si>
  <si>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</si>
  <si>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</si>
  <si>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</si>
  <si>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</si>
  <si>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</si>
  <si>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</si>
  <si>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</si>
  <si>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</si>
  <si>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</si>
  <si>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</si>
  <si>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</si>
  <si>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</si>
  <si>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</si>
  <si>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</si>
  <si>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</si>
  <si>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</si>
  <si>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</si>
  <si>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</si>
  <si>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</si>
  <si>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</si>
  <si>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</si>
  <si>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</si>
  <si>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</si>
  <si>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</si>
  <si>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</si>
  <si>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</si>
  <si>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</si>
  <si>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</si>
  <si>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</si>
  <si>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</si>
  <si>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</si>
  <si>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</si>
  <si>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</si>
  <si>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</si>
  <si>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</si>
  <si>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</si>
  <si>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</si>
  <si>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</si>
  <si>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</si>
  <si>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</si>
  <si>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</si>
  <si>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</si>
  <si>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</si>
  <si>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</si>
  <si>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</si>
  <si>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</si>
  <si>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</si>
  <si>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Bin</t>
  </si>
  <si>
    <t>More</t>
  </si>
  <si>
    <t>Frequency</t>
  </si>
  <si>
    <t>PEN Historical Return Histogram (4/30/25)</t>
  </si>
  <si>
    <t>X</t>
  </si>
  <si>
    <t>Y</t>
  </si>
  <si>
    <t>-3σ</t>
  </si>
  <si>
    <t>-2σ</t>
  </si>
  <si>
    <t>-1σ</t>
  </si>
  <si>
    <t>1σ</t>
  </si>
  <si>
    <t>2σ</t>
  </si>
  <si>
    <t>3σ</t>
  </si>
  <si>
    <t xml:space="preserve">(Y) Pop. Density </t>
  </si>
  <si>
    <t>β (1-year avg.)</t>
  </si>
  <si>
    <t xml:space="preserve">  3σ 1-Day Δ: ±</t>
  </si>
  <si>
    <t>Look into Value-at-Risk (VaR) model development while understanding its limitation to capture severity of 3σ+ events</t>
  </si>
  <si>
    <t>Evaluate difference in output vs Sortino Ratio…</t>
  </si>
  <si>
    <t xml:space="preserve">Conditional VaR (CVaR) model will better capture tail risk…  </t>
  </si>
  <si>
    <t xml:space="preserve">Consider using CVaR as the denominator in the Sortino Ratio (instead of downside deviation) to better capture outsized tail risks </t>
  </si>
  <si>
    <t xml:space="preserve">TRUMY </t>
  </si>
  <si>
    <t xml:space="preserve">PHG </t>
  </si>
  <si>
    <t>The return distribution is highly non-normal and doesn't fit a Gaussian curve, reducing confidence in any statistical inferences made</t>
  </si>
  <si>
    <t>Q4 2018</t>
  </si>
  <si>
    <t>Q3 2018</t>
  </si>
  <si>
    <t>Q2 2018</t>
  </si>
  <si>
    <t>Q1 2018</t>
  </si>
  <si>
    <t>Q4 2017</t>
  </si>
  <si>
    <t>Q3 2017</t>
  </si>
  <si>
    <t>Q2 2017</t>
  </si>
  <si>
    <t>Q1 2017</t>
  </si>
  <si>
    <t>Q4 2016</t>
  </si>
  <si>
    <t>Q3 2016</t>
  </si>
  <si>
    <t>Q2 2016</t>
  </si>
  <si>
    <t>Q1 2016</t>
  </si>
  <si>
    <t>Q4 2015</t>
  </si>
  <si>
    <t>Q3 2015</t>
  </si>
  <si>
    <t>Q2 2015</t>
  </si>
  <si>
    <t>Q1 2015</t>
  </si>
  <si>
    <t>Q1 2025</t>
  </si>
  <si>
    <t>Q4 2024</t>
  </si>
  <si>
    <t>Q3 2024</t>
  </si>
  <si>
    <t>Q2 2024</t>
  </si>
  <si>
    <t>Q1 2024</t>
  </si>
  <si>
    <t>Q4 2023</t>
  </si>
  <si>
    <t>Q3 2023</t>
  </si>
  <si>
    <t>Q2 2023</t>
  </si>
  <si>
    <t>Q1 2023</t>
  </si>
  <si>
    <t>Q4 2022</t>
  </si>
  <si>
    <t>Q3 2022</t>
  </si>
  <si>
    <t>Q2 2022</t>
  </si>
  <si>
    <t>Q1 2022</t>
  </si>
  <si>
    <t>Q4 2021</t>
  </si>
  <si>
    <t>Q3 2021</t>
  </si>
  <si>
    <t>Q2 2021</t>
  </si>
  <si>
    <t>Q1 2021</t>
  </si>
  <si>
    <t>Q4 2020</t>
  </si>
  <si>
    <t>Q3 2020</t>
  </si>
  <si>
    <t>Q2 2020</t>
  </si>
  <si>
    <t>Q1 2020</t>
  </si>
  <si>
    <t>Q4 2019</t>
  </si>
  <si>
    <t>Q3 2019</t>
  </si>
  <si>
    <t>Q2 2019</t>
  </si>
  <si>
    <t>Q1 2019</t>
  </si>
  <si>
    <t>Q2 2025</t>
  </si>
  <si>
    <t>Q3 2025</t>
  </si>
  <si>
    <t>Q4 2025</t>
  </si>
  <si>
    <t>Q1 2026</t>
  </si>
  <si>
    <t>Q2 2026</t>
  </si>
  <si>
    <t>Q3 2026</t>
  </si>
  <si>
    <t>Q4 2026</t>
  </si>
  <si>
    <t>Q1 2027</t>
  </si>
  <si>
    <t>Q2 2027</t>
  </si>
  <si>
    <t>Q3 2027</t>
  </si>
  <si>
    <t>Q4 2027</t>
  </si>
  <si>
    <t>With credit spreads between investment-grade corporate bonds at historically tight levels and interest rates near zero, The Company could have strategically leveraged favorable borrowing conditions to secure inexpensive funding. We take cash when we can get it... not necessarily when we "need" it</t>
  </si>
  <si>
    <t>Inventory turnover, and inventory FMV adjustments will also be important figures to track. Management must be incredibly diligent with revenue/profit maximization models for their current product portfolio, and continue to develop a pipeline of new/innovative products (pushing IP lifespan forward)</t>
  </si>
  <si>
    <t xml:space="preserve">MedTech firms across the sector have higher Inventory/Ttl. Asset ratios than technology, and payment processing firms (which I am more accustomed to evaluating). MedTech firms often carry higher inventory levels due to:   </t>
  </si>
  <si>
    <t>Seen above -- Penumbra's traded common stock has decisively outperformed the majority of it's competing peers (next up, look into BSX)</t>
  </si>
  <si>
    <t>Histogram Data</t>
  </si>
  <si>
    <r>
      <rPr>
        <i/>
        <sz val="11"/>
        <color theme="1"/>
        <rFont val="Calibre"/>
      </rPr>
      <t>n</t>
    </r>
    <r>
      <rPr>
        <sz val="11"/>
        <color theme="1"/>
        <rFont val="Calibre"/>
      </rPr>
      <t xml:space="preserve"> =</t>
    </r>
  </si>
  <si>
    <t>SD Lines</t>
  </si>
  <si>
    <t>Distribution Overlay</t>
  </si>
  <si>
    <r>
      <t xml:space="preserve">I am discounting net income under the </t>
    </r>
    <r>
      <rPr>
        <i/>
        <sz val="11"/>
        <color rgb="FF0070C0"/>
        <rFont val="Calibre"/>
      </rPr>
      <t xml:space="preserve">somewhat-flawed </t>
    </r>
    <r>
      <rPr>
        <sz val="11"/>
        <color rgb="FF0070C0"/>
        <rFont val="Calibre"/>
      </rPr>
      <t>assumption that in the long run, net income and FCF converge (as CapEx "switches" from investment to maintenance and D&amp;A roughly balances with the period's CapEx spend)</t>
    </r>
  </si>
  <si>
    <r>
      <t xml:space="preserve">An easy one - Complete Stmt of Cash Flows and build a true DCF model that calculates NPV from </t>
    </r>
    <r>
      <rPr>
        <i/>
        <sz val="11"/>
        <color rgb="FF0070C0"/>
        <rFont val="Calibre"/>
      </rPr>
      <t>cash flows</t>
    </r>
    <r>
      <rPr>
        <sz val="11"/>
        <color rgb="FF0070C0"/>
        <rFont val="Calibre"/>
      </rPr>
      <t>, not net income… begin building assumptions for projecting the following:</t>
    </r>
  </si>
  <si>
    <r>
      <t xml:space="preserve">!! It is absolutely necessary to begin tracking individual products Penumbra owns/markets and creating useful life tables </t>
    </r>
    <r>
      <rPr>
        <b/>
        <sz val="11"/>
        <color rgb="FF0070C0"/>
        <rFont val="Calibre"/>
      </rPr>
      <t>!!</t>
    </r>
    <r>
      <rPr>
        <sz val="11"/>
        <color rgb="FF0070C0"/>
        <rFont val="Calibre"/>
      </rPr>
      <t xml:space="preserve"> Understanding the finances </t>
    </r>
    <r>
      <rPr>
        <i/>
        <sz val="11"/>
        <color rgb="FF0070C0"/>
        <rFont val="Calibre"/>
      </rPr>
      <t xml:space="preserve">and </t>
    </r>
    <r>
      <rPr>
        <sz val="11"/>
        <color rgb="FF0070C0"/>
        <rFont val="Calibre"/>
      </rPr>
      <t>the product is what is expected of analysts</t>
    </r>
  </si>
  <si>
    <t>General Market Research:</t>
  </si>
  <si>
    <t xml:space="preserve">Wide range of returns with many significant outliers (resulting in 3 sigma &gt;±7.5%) </t>
  </si>
  <si>
    <t>R&amp;D as a percentage of revenues remains at a constant 10% as the company innovates into the 2030's (look into patent expiry for product mix, as well as R&amp;D + FDA pipeline)</t>
  </si>
  <si>
    <t>&lt;- Sharpe Ratio (Risk Adjusted Return)</t>
  </si>
  <si>
    <r>
      <rPr>
        <b/>
        <sz val="11"/>
        <color theme="1"/>
        <rFont val="Calibre"/>
      </rPr>
      <t>During year ended</t>
    </r>
    <r>
      <rPr>
        <sz val="11"/>
        <color theme="1"/>
        <rFont val="Calibre"/>
      </rPr>
      <t xml:space="preserve"> December 31, 2024, </t>
    </r>
    <r>
      <rPr>
        <b/>
        <sz val="11"/>
        <color theme="1"/>
        <rFont val="Calibre"/>
      </rPr>
      <t>The Company permanently ceased sales of Immersive Healthcare products and related commercial operations</t>
    </r>
  </si>
  <si>
    <t>How do you value IP??? Commercialization ramp track</t>
  </si>
  <si>
    <t>Fixed Asset Turnover Ratio</t>
  </si>
  <si>
    <t>https://evtoday.com/</t>
  </si>
  <si>
    <t>Resources:</t>
  </si>
  <si>
    <t xml:space="preserve">Comp. + Board structure </t>
  </si>
  <si>
    <t>https://www.fda.gov/medical-devices</t>
  </si>
  <si>
    <t>Penumbra IP Catalog</t>
  </si>
  <si>
    <t>U.S. Patent Office Search</t>
  </si>
  <si>
    <t>https://ppubs.uspto.gov/pubThe Companybapp/static/pages/ppubsbasic.html</t>
  </si>
  <si>
    <t>The Company's existing products may be rendered obsolete and The Company may be unable to effectively introduce and market new products or may fail to keep pace with advances in technologies</t>
  </si>
  <si>
    <t>To compete in the marketplace, The Company have made, and The Company must continue to make, substantial investments in new product development, whether internally through research and development or externally through licensing or acquisitions</t>
  </si>
  <si>
    <t>Change Δ</t>
  </si>
  <si>
    <t>&lt;-- Focus on developing the next generations of cutting edge products</t>
  </si>
  <si>
    <t>&lt;-- Skilled labor force focused on device assembly, QC, and supply chain management</t>
  </si>
  <si>
    <t>&lt;-- Direct engagement with hospitals neuro and vascular specialist for outreach, sales, and teaching purposes</t>
  </si>
  <si>
    <t>&lt;-- Ensures FDA, CE, EMA and other market approvals; manages global initiatives</t>
  </si>
  <si>
    <t>Penumbra IR Page</t>
  </si>
  <si>
    <t>https://app.godelterminal.com/</t>
  </si>
  <si>
    <t>Earnings Calls</t>
  </si>
  <si>
    <t>FDA Med Device reporting's</t>
  </si>
  <si>
    <t>https://pubmed.ncbi.nlm.nih.gov/</t>
  </si>
  <si>
    <t>Investor Relations / Corporate Strategy Contacts</t>
  </si>
  <si>
    <t>Investor Relations</t>
  </si>
  <si>
    <t>Phone:</t>
  </si>
  <si>
    <t xml:space="preserve">Email: </t>
  </si>
  <si>
    <t>investors@penumbrainc.com</t>
  </si>
  <si>
    <t>https://evtoday.com/news/penumbra-commences-stride-ii-of-lightning-bolt-cavt-to-treat-lower-extremity-ali?c4src=home</t>
  </si>
  <si>
    <t>Penumbra announced that it will begin recruitment for the STRIDE II study of its Lightning Bolt computer-assisted vacuum thrombectomy (CAVT) technology, which uses modulated aspiration for removing clots</t>
  </si>
  <si>
    <t>Penumbra Commences STRIDE II Study of Lightning Bolt CAVT to Treat Lower Extremity ALI (May 7, 2025)</t>
  </si>
  <si>
    <t>According to the company, the prospective, multicenter, global clinical study will evaluate the safety and effectiveness of Lightning Bolt CAVT devices in patients with lower-extremity acute limb ischemia (ALI)</t>
  </si>
  <si>
    <t>The Lightning Bolt portfolio includes Lightning Bolt 6x with Trax, Lightning Bolt 7, and Lightning Bolt 12</t>
  </si>
  <si>
    <t>Compared to the first STRIDE study, STRIDE II will more than double the number of patients enrolled</t>
  </si>
  <si>
    <t>approximately triple the number of sites reporting data; and be more inclusive in terms of vessel locations, including iliac arteries and below, noted The Company</t>
  </si>
  <si>
    <t>STRIDE showed that the use of Penumbra’s Indigo aspiration system in lower extremity ALI is safe and effective with a 30-day limb-salvage rate of 98.2% and a mortality rate of 3.4%</t>
  </si>
  <si>
    <t>By comparison, data suggest that traditional open vascular surgery to perform an embolectomy has an 83% 30-day limb salvage rate, advised Penumbra in the press release</t>
  </si>
  <si>
    <t>The first STRIDE study showed that the Indigo aspiration system, including CAVT technology, was safe and effective for managing arterial thrombus with high limb-salvage rates, very low adverse events, low risk of bleeding, low mortality, all while being extremely efficient with an average 22 minutes of device time</t>
  </si>
  <si>
    <t>STRIDE II will test the latest technology while expanding the sample size and geographic scope of the investigation on a wider set of cases</t>
  </si>
  <si>
    <t>STRIDE II will enroll up to 300 adult patients at up to 50 global sites. Patients will be followed through 6 months postprocedure</t>
  </si>
  <si>
    <t>Penumbra Introduces Red 72 Silver Label Large-Bore Reperfusion Catheter (April 24, 2025)</t>
  </si>
  <si>
    <t>Penumbra recently announced the introduction of the Red 72 Silver Label large-bore reperfusion catheter with SendIt technology</t>
  </si>
  <si>
    <t xml:space="preserve"> The device is an update of the company’s flagship Red 72 device</t>
  </si>
  <si>
    <t>Penumbra stated that the new Red 72 Silver Label is adapted from the company’s Red 43 and Red 62 catheters, which are designed to support more distal vessels</t>
  </si>
  <si>
    <t>As outlined in Penumbra’s press release, Red 72 Silver Label has a 0.072-inch (1.83-mm) lumen, an 0.085-inch (2.16-mm) outer diameter, and a 132-cm length to reach target vessels</t>
  </si>
  <si>
    <t>Additionally, the company noted that Red 72 was designed to occupy approximately 72% to 77% of the average M1 segment of the middle cerebral artery, which is within the optimal catheter-to-vessel inner-diameter ratio to create a pressure differential necessary for an effective thrombectomy procedure</t>
  </si>
  <si>
    <t>Penumbra’s SendIt technology is intended to minimize the ledge effect, simplify preparation, and ease delivery in large vessel occlusion</t>
  </si>
  <si>
    <t>It features a smooth 1.5-cm taper for ease of navigation and close clot proximity</t>
  </si>
  <si>
    <t>The Red 72 Silver Label, which has been developed for speed and ease of navigation, has shown a 50% increase in trackability versus the original Red 72 with SendIt technology, stated Penumbra</t>
  </si>
  <si>
    <t>Red 72 Silver Label tracked with ease to an M1 occlusion in a patient in their 90s with extreme cervical carotid tortuosity and underlying atherosclerotic disease</t>
  </si>
  <si>
    <t>https://evtoday.com/news/penumbra-introduces-red-72-silver-label-large-bore-reperfusion-catheter?c4src=news-landing</t>
  </si>
  <si>
    <t>Revenue growth continues, with sequential Thrombectomy revenues remaining strong into the terminal period</t>
  </si>
  <si>
    <t>No future debt issuance - I only calculated for Cost of Equity... Net income is more sensitive to changes in capital structure, and will distort NPV calculation further between NI and FCF approaches</t>
  </si>
  <si>
    <t>Sensitivity to potential swings in working capital -- stress-test model in dedicated page</t>
  </si>
  <si>
    <t>This is the tricky part, and demands learning more about Penumbra's product mix, their product's operating lifecycles, and The Company's need to create/innovate to generate future returns (the patents ultimately expire in 20 years- follows similar behavior to pharma-economics)</t>
  </si>
  <si>
    <t>Listen to earnings call for commentary on sales force hiring trends (if mentioned)</t>
  </si>
  <si>
    <t xml:space="preserve">Fat tails, with extremely volatile daily returns (±6-7% change in share price) occurring more often than expected in a Gaussian distribution </t>
  </si>
  <si>
    <t>[Important] The Chinese business and revenues were entirely removed from FY'25 estimates… (Is the Chinese business a joint venture with Penumbra… hopefully we are only marketing older portions of the portfolio to this segment)</t>
  </si>
  <si>
    <t>Employee Snapshot (Q4'24)</t>
  </si>
  <si>
    <t>Price</t>
  </si>
  <si>
    <t>Invested Capital</t>
  </si>
  <si>
    <t>Projected ROIC:</t>
  </si>
  <si>
    <t>Net Income attr to Non-Cont.</t>
  </si>
  <si>
    <t>The Company sells products to healthcare providers primarily through The Company's direct sales organization in the United States, most of Europe, Canada and Australia, and as a partner with distributors in select international markets (China, APac, LatAm)</t>
  </si>
  <si>
    <r>
      <t xml:space="preserve">The Company </t>
    </r>
    <r>
      <rPr>
        <b/>
        <sz val="11"/>
        <color theme="1"/>
        <rFont val="Calibre"/>
      </rPr>
      <t>sells its products through direct sales organizations</t>
    </r>
    <r>
      <rPr>
        <sz val="11"/>
        <color theme="1"/>
        <rFont val="Calibre"/>
      </rPr>
      <t xml:space="preserve"> and </t>
    </r>
    <r>
      <rPr>
        <b/>
        <sz val="11"/>
        <color theme="1"/>
        <rFont val="Calibre"/>
      </rPr>
      <t>distributors</t>
    </r>
  </si>
  <si>
    <r>
      <rPr>
        <b/>
        <sz val="11"/>
        <color theme="1"/>
        <rFont val="Calibre"/>
      </rPr>
      <t>Neuro</t>
    </r>
    <r>
      <rPr>
        <sz val="11"/>
        <color theme="1"/>
        <rFont val="Calibre"/>
      </rPr>
      <t xml:space="preserve">, which included </t>
    </r>
    <r>
      <rPr>
        <b/>
        <sz val="11"/>
        <color theme="1"/>
        <rFont val="Calibre"/>
      </rPr>
      <t>neurovascular</t>
    </r>
    <r>
      <rPr>
        <sz val="11"/>
        <color theme="1"/>
        <rFont val="Calibre"/>
      </rPr>
      <t xml:space="preserve"> and </t>
    </r>
    <r>
      <rPr>
        <b/>
        <sz val="11"/>
        <color theme="1"/>
        <rFont val="Calibre"/>
      </rPr>
      <t>neurosurgical</t>
    </r>
    <r>
      <rPr>
        <sz val="11"/>
        <color theme="1"/>
        <rFont val="Calibre"/>
      </rPr>
      <t xml:space="preserve"> (Stroke, Aneurysm)</t>
    </r>
  </si>
  <si>
    <r>
      <rPr>
        <b/>
        <sz val="11"/>
        <color theme="1"/>
        <rFont val="Calibre"/>
      </rPr>
      <t>Embolization and Access</t>
    </r>
    <r>
      <rPr>
        <sz val="11"/>
        <color theme="1"/>
        <rFont val="Calibre"/>
      </rPr>
      <t>, which include products to treat aneurysms and to occlude vessels as well as products to access the vasculature</t>
    </r>
  </si>
  <si>
    <t>Disruption of blood flow to the vasculature can have serious adverse consequences, including death and morbidity, and The Company's solutions address the intervention of these diseases</t>
  </si>
  <si>
    <r>
      <t xml:space="preserve">There are approximately </t>
    </r>
    <r>
      <rPr>
        <b/>
        <sz val="11"/>
        <color theme="1"/>
        <rFont val="Calibre"/>
      </rPr>
      <t>2.15 million incidences of clot in the vasculature each year in the United States</t>
    </r>
    <r>
      <rPr>
        <sz val="11"/>
        <color theme="1"/>
        <rFont val="Calibre"/>
      </rPr>
      <t xml:space="preserve">, the </t>
    </r>
    <r>
      <rPr>
        <b/>
        <sz val="11"/>
        <color theme="1"/>
        <rFont val="Calibre"/>
      </rPr>
      <t xml:space="preserve">vast majority </t>
    </r>
    <r>
      <rPr>
        <sz val="11"/>
        <color theme="1"/>
        <rFont val="Calibre"/>
      </rPr>
      <t xml:space="preserve">of which </t>
    </r>
    <r>
      <rPr>
        <b/>
        <sz val="11"/>
        <color theme="1"/>
        <rFont val="Calibre"/>
      </rPr>
      <t>do not currently receive mechanical thrombectomy intervention</t>
    </r>
  </si>
  <si>
    <t>[Commit to tracking hospital adoption … terrific products will win, but continued education to demonstrate efficacy that trumps both status quo pharmaceuticals (which a cheap and available everywhere … but with lower patient outcome quality, or other mechanical offerings (which are inferior)]</t>
  </si>
  <si>
    <r>
      <rPr>
        <b/>
        <sz val="11"/>
        <color theme="1"/>
        <rFont val="Calibre"/>
      </rPr>
      <t>Approximately 1.2 million PEs occur annually worldwide</t>
    </r>
    <r>
      <rPr>
        <sz val="11"/>
        <color theme="1"/>
        <rFont val="Calibre"/>
      </rPr>
      <t>.</t>
    </r>
    <r>
      <rPr>
        <b/>
        <sz val="11"/>
        <color theme="1"/>
        <rFont val="Calibre"/>
      </rPr>
      <t xml:space="preserve"> In the U.S.</t>
    </r>
    <r>
      <rPr>
        <sz val="11"/>
        <color theme="1"/>
        <rFont val="Calibre"/>
      </rPr>
      <t xml:space="preserve">, there are </t>
    </r>
    <r>
      <rPr>
        <b/>
        <sz val="11"/>
        <color theme="1"/>
        <rFont val="Calibre"/>
      </rPr>
      <t>approximately 350,000 PEs per year</t>
    </r>
    <r>
      <rPr>
        <sz val="11"/>
        <color theme="1"/>
        <rFont val="Calibre"/>
      </rPr>
      <t xml:space="preserve"> causing approximately 50,000 annual deaths according to the Centers for Disease Control and Prevention</t>
    </r>
  </si>
  <si>
    <r>
      <t>Approximately 800,000 annual PEs</t>
    </r>
    <r>
      <rPr>
        <b/>
        <sz val="11"/>
        <color theme="1"/>
        <rFont val="Calibre"/>
      </rPr>
      <t xml:space="preserve"> outside the U.S.</t>
    </r>
    <r>
      <rPr>
        <sz val="11"/>
        <color theme="1"/>
        <rFont val="Calibre"/>
      </rPr>
      <t xml:space="preserve"> and</t>
    </r>
    <r>
      <rPr>
        <b/>
        <sz val="11"/>
        <color theme="1"/>
        <rFont val="Calibre"/>
      </rPr>
      <t xml:space="preserve"> approximately 350,000</t>
    </r>
    <r>
      <rPr>
        <sz val="11"/>
        <color theme="1"/>
        <rFont val="Calibre"/>
      </rPr>
      <t xml:space="preserve"> of them are massive or sub-massive, making them </t>
    </r>
    <r>
      <rPr>
        <b/>
        <sz val="11"/>
        <color theme="1"/>
        <rFont val="Calibre"/>
      </rPr>
      <t>eligible for thrombectomy</t>
    </r>
  </si>
  <si>
    <r>
      <rPr>
        <b/>
        <sz val="11"/>
        <color theme="1"/>
        <rFont val="Calibre"/>
      </rPr>
      <t>Approximately 4 million DVTs</t>
    </r>
    <r>
      <rPr>
        <sz val="11"/>
        <color theme="1"/>
        <rFont val="Calibre"/>
      </rPr>
      <t xml:space="preserve"> occur </t>
    </r>
    <r>
      <rPr>
        <b/>
        <sz val="11"/>
        <color theme="1"/>
        <rFont val="Calibre"/>
      </rPr>
      <t>annually worldwide</t>
    </r>
  </si>
  <si>
    <r>
      <rPr>
        <b/>
        <sz val="11"/>
        <color theme="1"/>
        <rFont val="Calibre"/>
      </rPr>
      <t>Approximately 2 million annual DVTs outside the U.S.</t>
    </r>
    <r>
      <rPr>
        <sz val="11"/>
        <color theme="1"/>
        <rFont val="Calibre"/>
      </rPr>
      <t xml:space="preserve"> that are</t>
    </r>
    <r>
      <rPr>
        <b/>
        <sz val="11"/>
        <color theme="1"/>
        <rFont val="Calibre"/>
      </rPr>
      <t xml:space="preserve"> eligible</t>
    </r>
    <r>
      <rPr>
        <sz val="11"/>
        <color theme="1"/>
        <rFont val="Calibre"/>
      </rPr>
      <t xml:space="preserve"> for </t>
    </r>
    <r>
      <rPr>
        <b/>
        <sz val="11"/>
        <color theme="1"/>
        <rFont val="Calibre"/>
      </rPr>
      <t>thrombectomy</t>
    </r>
    <r>
      <rPr>
        <sz val="11"/>
        <color theme="1"/>
        <rFont val="Calibre"/>
      </rPr>
      <t xml:space="preserve"> procedures</t>
    </r>
  </si>
  <si>
    <r>
      <rPr>
        <b/>
        <sz val="11"/>
        <color theme="1"/>
        <rFont val="Calibre"/>
      </rPr>
      <t xml:space="preserve">Approximately 2.5 million ALIs occur annually </t>
    </r>
    <r>
      <rPr>
        <sz val="11"/>
        <color theme="1"/>
        <rFont val="Calibre"/>
      </rPr>
      <t>and that there are approximately 16 million ALI survivors worldwide.</t>
    </r>
  </si>
  <si>
    <r>
      <rPr>
        <b/>
        <sz val="11"/>
        <color theme="1"/>
        <rFont val="Calibre"/>
      </rPr>
      <t>Approximately 250,000 ALIs per year in the U.S.</t>
    </r>
    <r>
      <rPr>
        <sz val="11"/>
        <color theme="1"/>
        <rFont val="Calibre"/>
      </rPr>
      <t xml:space="preserve">, which are generally </t>
    </r>
    <r>
      <rPr>
        <b/>
        <sz val="11"/>
        <color theme="1"/>
        <rFont val="Calibre"/>
      </rPr>
      <t>eligible for treatment</t>
    </r>
    <r>
      <rPr>
        <sz val="11"/>
        <color theme="1"/>
        <rFont val="Calibre"/>
      </rPr>
      <t xml:space="preserve"> with </t>
    </r>
    <r>
      <rPr>
        <b/>
        <sz val="11"/>
        <color theme="1"/>
        <rFont val="Calibre"/>
      </rPr>
      <t>mechanical</t>
    </r>
    <r>
      <rPr>
        <sz val="11"/>
        <color theme="1"/>
        <rFont val="Calibre"/>
      </rPr>
      <t xml:space="preserve"> or computer assisted vacuum </t>
    </r>
    <r>
      <rPr>
        <b/>
        <sz val="11"/>
        <color theme="1"/>
        <rFont val="Calibre"/>
      </rPr>
      <t>thrombectomy</t>
    </r>
  </si>
  <si>
    <r>
      <rPr>
        <b/>
        <sz val="11"/>
        <color theme="1"/>
        <rFont val="Calibre"/>
      </rPr>
      <t>Approximately 2.25 million annual ALIs outside the U.S.</t>
    </r>
    <r>
      <rPr>
        <sz val="11"/>
        <color theme="1"/>
        <rFont val="Calibre"/>
      </rPr>
      <t xml:space="preserve"> that are </t>
    </r>
    <r>
      <rPr>
        <b/>
        <sz val="11"/>
        <color theme="1"/>
        <rFont val="Calibre"/>
      </rPr>
      <t>eligible for thrombectomy</t>
    </r>
  </si>
  <si>
    <r>
      <t xml:space="preserve">Of these cases, The Company estimate that </t>
    </r>
    <r>
      <rPr>
        <b/>
        <sz val="11"/>
        <color theme="1"/>
        <rFont val="Calibre"/>
      </rPr>
      <t>approximately 200,000 are treatable with mechanical thrombectomy</t>
    </r>
    <r>
      <rPr>
        <sz val="11"/>
        <color theme="1"/>
        <rFont val="Calibre"/>
      </rPr>
      <t>, which involves removal of the clot causing the blockage by mechanical means and restoring blood flow to the blocked vessels</t>
    </r>
  </si>
  <si>
    <r>
      <rPr>
        <b/>
        <sz val="11"/>
        <color theme="1"/>
        <rFont val="Calibre"/>
      </rPr>
      <t>Outside of the United States</t>
    </r>
    <r>
      <rPr>
        <sz val="11"/>
        <color theme="1"/>
        <rFont val="Calibre"/>
      </rPr>
      <t>, The Company estimate, based on published sources, that there are approximately 9.7 million ischemic strokes annually and that</t>
    </r>
    <r>
      <rPr>
        <b/>
        <sz val="11"/>
        <color theme="1"/>
        <rFont val="Calibre"/>
      </rPr>
      <t xml:space="preserve"> 1.9 million of these patients are treatable with mechanical thrombectomy</t>
    </r>
  </si>
  <si>
    <r>
      <t xml:space="preserve"> </t>
    </r>
    <r>
      <rPr>
        <b/>
        <sz val="11"/>
        <color theme="1"/>
        <rFont val="Calibre"/>
      </rPr>
      <t>AMIs</t>
    </r>
    <r>
      <rPr>
        <sz val="11"/>
        <color theme="1"/>
        <rFont val="Calibre"/>
      </rPr>
      <t xml:space="preserve"> involving high thrombus burden, which </t>
    </r>
    <r>
      <rPr>
        <b/>
        <sz val="11"/>
        <color theme="1"/>
        <rFont val="Calibre"/>
      </rPr>
      <t>are generally eligible for treatment with mechanical thrombectomy</t>
    </r>
    <r>
      <rPr>
        <sz val="11"/>
        <color theme="1"/>
        <rFont val="Calibre"/>
      </rPr>
      <t xml:space="preserve">, represent approximately 60% of U.S. AMIs, or </t>
    </r>
    <r>
      <rPr>
        <b/>
        <sz val="11"/>
        <color theme="1"/>
        <rFont val="Calibre"/>
      </rPr>
      <t>approximately 300,000 U.S. patients</t>
    </r>
  </si>
  <si>
    <r>
      <t xml:space="preserve">The Company estimate there are </t>
    </r>
    <r>
      <rPr>
        <b/>
        <sz val="11"/>
        <color theme="1"/>
        <rFont val="Calibre"/>
      </rPr>
      <t>approximately 8 million annual AMIs outside the U.S.</t>
    </r>
    <r>
      <rPr>
        <sz val="11"/>
        <color theme="1"/>
        <rFont val="Calibre"/>
      </rPr>
      <t xml:space="preserve"> that are </t>
    </r>
    <r>
      <rPr>
        <b/>
        <sz val="11"/>
        <color theme="1"/>
        <rFont val="Calibre"/>
      </rPr>
      <t>eligible</t>
    </r>
    <r>
      <rPr>
        <sz val="11"/>
        <color theme="1"/>
        <rFont val="Calibre"/>
      </rPr>
      <t xml:space="preserve"> for </t>
    </r>
    <r>
      <rPr>
        <b/>
        <sz val="11"/>
        <color theme="1"/>
        <rFont val="Calibre"/>
      </rPr>
      <t>mechanical thrombectomy</t>
    </r>
    <r>
      <rPr>
        <sz val="11"/>
        <color theme="1"/>
        <rFont val="Calibre"/>
      </rPr>
      <t>.</t>
    </r>
  </si>
  <si>
    <t>An aneurysm is a weak area in a blood vessel that usually enlarges and is often described as a “ballooning” of the blood vessel.</t>
  </si>
  <si>
    <r>
      <rPr>
        <b/>
        <sz val="11"/>
        <color theme="1"/>
        <rFont val="Calibre"/>
      </rPr>
      <t>Approximately 2% of the general population has or will develop an aneurysm</t>
    </r>
    <r>
      <rPr>
        <sz val="11"/>
        <color theme="1"/>
        <rFont val="Calibre"/>
      </rPr>
      <t xml:space="preserve"> and </t>
    </r>
    <r>
      <rPr>
        <b/>
        <sz val="11"/>
        <color theme="1"/>
        <rFont val="Calibre"/>
      </rPr>
      <t>approximately 9 million people in the United States</t>
    </r>
    <r>
      <rPr>
        <sz val="11"/>
        <color theme="1"/>
        <rFont val="Calibre"/>
      </rPr>
      <t xml:space="preserve"> may </t>
    </r>
    <r>
      <rPr>
        <b/>
        <sz val="11"/>
        <color theme="1"/>
        <rFont val="Calibre"/>
      </rPr>
      <t>currently have an aneurysm</t>
    </r>
  </si>
  <si>
    <r>
      <t xml:space="preserve"> (X) 1-Day</t>
    </r>
    <r>
      <rPr>
        <b/>
        <i/>
        <sz val="11"/>
        <color theme="1"/>
        <rFont val="Calibre"/>
      </rPr>
      <t xml:space="preserve"> Δ </t>
    </r>
    <r>
      <rPr>
        <i/>
        <sz val="11"/>
        <color theme="1"/>
        <rFont val="Calibre"/>
      </rPr>
      <t xml:space="preserve"> </t>
    </r>
  </si>
  <si>
    <t>The Company has ~ 1 year of inventory on hand (when compared to annualized COGS) … product mix of inventories is unknown ATT</t>
  </si>
  <si>
    <r>
      <rPr>
        <b/>
        <sz val="11"/>
        <color theme="1"/>
        <rFont val="Calibre"/>
      </rPr>
      <t>The Company's sales representatives and sales managers generally have substantial medical device experience</t>
    </r>
    <r>
      <rPr>
        <sz val="11"/>
        <color theme="1"/>
        <rFont val="Calibre"/>
      </rPr>
      <t xml:space="preserve"> and </t>
    </r>
    <r>
      <rPr>
        <b/>
        <sz val="11"/>
        <color theme="1"/>
        <rFont val="Calibre"/>
      </rPr>
      <t>market The Company's products directly to a variety of specialist physicians engaged in the treatment of vascular disorders</t>
    </r>
    <r>
      <rPr>
        <sz val="11"/>
        <color theme="1"/>
        <rFont val="Calibre"/>
      </rPr>
      <t xml:space="preserve">, </t>
    </r>
    <r>
      <rPr>
        <b/>
        <sz val="11"/>
        <color theme="1"/>
        <rFont val="Calibre"/>
      </rPr>
      <t>who are the end users of The Company's products and significantly influence buying decisions in hospitals and other healthcare settings relating to medical devices</t>
    </r>
  </si>
  <si>
    <r>
      <rPr>
        <b/>
        <sz val="11"/>
        <color theme="1"/>
        <rFont val="Calibre"/>
      </rPr>
      <t>focused on developing strong relationships with specialist physicians and other healthcare providers</t>
    </r>
    <r>
      <rPr>
        <sz val="11"/>
        <color theme="1"/>
        <rFont val="Calibre"/>
      </rPr>
      <t xml:space="preserve"> and </t>
    </r>
    <r>
      <rPr>
        <b/>
        <sz val="11"/>
        <color theme="1"/>
        <rFont val="Calibre"/>
      </rPr>
      <t>devote significant resources to training and educating physicians</t>
    </r>
    <r>
      <rPr>
        <sz val="11"/>
        <color theme="1"/>
        <rFont val="Calibre"/>
      </rPr>
      <t xml:space="preserve"> and </t>
    </r>
    <r>
      <rPr>
        <b/>
        <sz val="11"/>
        <color theme="1"/>
        <rFont val="Calibre"/>
      </rPr>
      <t>other healthcare providers in the use and benefits of The Company's products</t>
    </r>
  </si>
  <si>
    <t>Sector: Medical Devices</t>
  </si>
  <si>
    <t>Industry: Thrombectomy/Embolization</t>
  </si>
  <si>
    <t xml:space="preserve">Penumbra IPO: Sept. 2015 … Secondary offering May 27, 2020 </t>
  </si>
  <si>
    <t xml:space="preserve">5/30/2025 8-K filing: </t>
  </si>
  <si>
    <t>Shareholder friendly governance changes announced</t>
  </si>
  <si>
    <t>The board will be “declassified” over three years. Instead of directors serving staggered multi-year terms, all directors will eventually be elected annually. By the 2028 annual meeting, the board will be fully declassified, and all directors will stand for election each year</t>
  </si>
  <si>
    <t>The prior requirement for a 66 2/3% supermajority shareholder vote on certain actions is replaced with a simple majority standard. This makes it easier for shareholders to approve key corporate actions</t>
  </si>
  <si>
    <t>Declassification of Board:</t>
  </si>
  <si>
    <t>Elimination of Supermajority Voting:</t>
  </si>
  <si>
    <t>MedTech News</t>
  </si>
  <si>
    <t>MacroTrends</t>
  </si>
  <si>
    <t>ROIC, WACC</t>
  </si>
  <si>
    <t>https://www.medtechdive.com/news/stryker-inari-medical-acquisition/736615/</t>
  </si>
  <si>
    <t>https://www.macrotrends.net/stocks/charts/PEN/penumbra/income-statement?freq=Q</t>
  </si>
  <si>
    <t>https://www.gurufocus.com/term/wacc/PEN</t>
  </si>
  <si>
    <t>Penumbra Homepage</t>
  </si>
  <si>
    <t>https://www.penumbrainc.com/</t>
  </si>
  <si>
    <t>Founders: Arani Bose, Adam Elsesser</t>
  </si>
  <si>
    <t>Revenue Breakdown by Segment</t>
  </si>
  <si>
    <t>Thrombectomy  
(Neuro + Peripheral)</t>
  </si>
  <si>
    <t>Embolization &amp; Access 
(Peripheral Embolization + Neuro Embolization + Access + Neurosurgical Tools)</t>
  </si>
  <si>
    <t>(510) 748-3200</t>
  </si>
  <si>
    <t>(510) 995-2461</t>
  </si>
  <si>
    <t>From Penumbra Communications Team -- IPO Announcement -- Sept. 17, 2015</t>
  </si>
  <si>
    <t>https://www.penumbrainc.com/penumbra-inc-announces-pricing-of-initial-public-offering/</t>
  </si>
  <si>
    <t>The underwriters for the offering will also have a 30-day option to purchase up to an additional 600,000 shares of Penumbra’s common stock at the price to the public, less the underwriting discounts and commissions</t>
  </si>
  <si>
    <t>Penumbra’s common stock is expected to begin trading on the New York Stock Exchange on September 18, 2015, under the symbol “PEN”</t>
  </si>
  <si>
    <t>J.P Morgan and BofA served as joint book-running managers in the public offer</t>
  </si>
  <si>
    <t>Wells Fargo Securities and Canaccord Genuity served as co-managers</t>
  </si>
  <si>
    <t>Perella Weinberg Partners acted as independent capital markets advisor</t>
  </si>
  <si>
    <t xml:space="preserve">Offering Details &amp; Valuation: </t>
  </si>
  <si>
    <t>4,000,000 shares offereed in the IPO at $30 per share, with a 30-day option for underwriters to purchase up to 600,000 additional shares</t>
  </si>
  <si>
    <t>Gross Proceeds: $120 million planned, with the over-allotment bringing the total to 4.6 million shares and gross proceeds of $138 million</t>
  </si>
  <si>
    <t>https://www.massdevice.com/penumbra-clears-125m-in-ipo/</t>
  </si>
  <si>
    <t>&lt;-</t>
  </si>
  <si>
    <t>&lt;--</t>
  </si>
  <si>
    <t>Net Proceeds: Approximately $124.5 million after expenses and commissions</t>
  </si>
  <si>
    <t>Co-founder &amp; CEO Adam Elsesser told MassDevice.com last week that Penumbra, which makes devices for the peripheral vascular and neurovascular markets, has raised $114 million to date, from friends, family and some institutional investors – but no venture capital shops</t>
  </si>
  <si>
    <t>Elsesser states:</t>
  </si>
  <si>
    <t>"Penumbra views the IPO as the next step in its growth, rather than as an exit in and of itself," he added</t>
  </si>
  <si>
    <t>“We think it will allow us to continue to drive innovation even faster, and hopefully ultimately help a broader group of patients with our technologies. We’re really exited about the work we’ve done for the last 10 years, but to very candid, equally or more excited about the work we can do and plan on doing over the next 10 years and beyond,” Elsesser said</t>
  </si>
  <si>
    <t>“We did that very particularly, very purposely. When we started Penumbra we had a vision to build Penumbra into a company that was beyond 1 product or 2 products, but into a company that as it grew continued or in effect accelerated our ability to innovate,” Elsesser said noting that Penumbra began its 10th year in 2014 by raising a round from institutional investors led by Fidelity</t>
  </si>
  <si>
    <t>The Company reported sales of $125.5 million last year, up 41.3% over 2013. Founded in 2004, Penumbra said it employs about 1,000 workers</t>
  </si>
  <si>
    <t>The market for its products in Europe and the U.S. is was about $1.4 billion last year, The Company estimated</t>
  </si>
  <si>
    <t>“While reliable 3rd-party data is not available for markets outside the United States and Europe, we believe that there is a substantial additional market for our neuro and peripheral vascular products in the rest of the world,” Penumbra said in a regulatory filing</t>
  </si>
  <si>
    <t>Market perception:</t>
  </si>
  <si>
    <t>Penumbra, Inc. announced the pricing of its initial public offering of 4,000,000 shares of its common stock at a price to the public of $30.00 per share</t>
  </si>
  <si>
    <t>First Day Trading -&gt; Shares opened at $40, peaked at $42, and closed at $41.30 on the first day</t>
  </si>
  <si>
    <t xml:space="preserve">10 years later … the IPO capital raised was effectively employed by managers to further expand Company facilities and product portolio … not merely an exit … tight correlation between revenue growth and company valuation </t>
  </si>
  <si>
    <t>Sept. 17, 2015:</t>
  </si>
  <si>
    <t>June 1, 2025:</t>
  </si>
  <si>
    <t>$30 per share, $125m annual sales</t>
  </si>
  <si>
    <t>$290 per share, $1.35b annual sales</t>
  </si>
  <si>
    <t>10x in share price and revenues in the last ten years … very impressive</t>
  </si>
  <si>
    <t>NI</t>
  </si>
  <si>
    <t>Device Overview</t>
  </si>
  <si>
    <t>Product: Indigo System (CAT3, CAT5, CAT6, CAT8 catheters, Separators, Penumbra ENGINE)</t>
  </si>
  <si>
    <t>Market/Treatment: Peripheral arterial and venous thrombus removal (acute limb ischemia, DVT, other peripheral emboli)</t>
  </si>
  <si>
    <t>Provided minimally invasive, aspiration-based thrombectomy for peripheral vessels, establishing Penumbra’s presence in vascular intervention</t>
  </si>
  <si>
    <t>Products Added: CATD, CAT RX catheters, additional Separator sizes</t>
  </si>
  <si>
    <t>CATD: Designed for dialysis access clot removal</t>
  </si>
  <si>
    <t>CAT RX: For coronary thrombectomy</t>
  </si>
  <si>
    <t>Broadened Indigo’s reach to dialysis and coronary interventions, building a modular platform for multiple vessel beds</t>
  </si>
  <si>
    <t>Introduction of Lightning Intelligent Aspiration (2020–2021)</t>
  </si>
  <si>
    <t>Lightning 7, Lightning 8, Lightning 12 (catheters with computer-aided aspiration), paired with Penumbra ENGINE</t>
  </si>
  <si>
    <t>Lightning 7: Peripheral arterial thrombectomy (larger vessels)</t>
  </si>
  <si>
    <t>Lightning 12: Large vessel thrombectomy, pulmonary embolism (PE)</t>
  </si>
  <si>
    <t>FDA Milestone: In September 2021, Lightning 12 and Separator 12 received FDA clearance for the treatment of pulmonary embolism, expanding Indigo’s indications into the pulmonary vasculature</t>
  </si>
  <si>
    <t>Lightning technology introduced real-time feedback and clot detection, improving efficiency and safety for both peripheral and pulmonary cases</t>
  </si>
  <si>
    <t>Launch of Lightning Flash (2023)</t>
  </si>
  <si>
    <t>Lightning Flash is the most advanced, large-lumen, computer-aided aspiration system in the Indigo portfolio, targeting the most challenging and high-risk thrombotic cases. It further cements Indigo as a leader in computer-assisted, single-session thrombectomy</t>
  </si>
  <si>
    <t>Lightning Flash: Designed for rapid removal of large venous thrombi and pulmonary emboli (PE), including massive and submassive PE</t>
  </si>
  <si>
    <t>Launch of Lightning Flash 2 (2024)</t>
  </si>
  <si>
    <t>Lightning Flash 2: Next-generation CAVT (computer-assisted vacuum thrombectomy) system for venous thrombus and pulmonary embolism, with enhanced features for clot removal and procedural feedback</t>
  </si>
  <si>
    <t>FDA Milestone: Cleared by the FDA in April 2024 for PE and venous thrombus</t>
  </si>
  <si>
    <t>Represents the latest evolution in Indigo’s aspiration technology, with further automation and workflow improvements for complex venous and pulmonary cases</t>
  </si>
  <si>
    <t>All Indigo systems</t>
  </si>
  <si>
    <t>Ongoing</t>
  </si>
  <si>
    <t>Penumbra ENGINE</t>
  </si>
  <si>
    <t>Enhances aspiration effectiveness</t>
  </si>
  <si>
    <t>Separators (3, 5, 6, 7, 12)</t>
  </si>
  <si>
    <t>Lightning Flash</t>
  </si>
  <si>
    <t>CAT RX</t>
  </si>
  <si>
    <t>CAT3, CAT5, CAT6, CAT8</t>
  </si>
  <si>
    <t>Launch/Approval</t>
  </si>
  <si>
    <t>Product/Component</t>
  </si>
  <si>
    <t>Notes:</t>
  </si>
  <si>
    <t>[X]</t>
  </si>
  <si>
    <t>[Y]</t>
  </si>
  <si>
    <t>[Z]</t>
  </si>
  <si>
    <t xml:space="preserve">Y/y Total Revenues, Net Income, FCF </t>
  </si>
  <si>
    <t>For further analysis on markets and product lines, visit "Portfolio | Product Lines" tab</t>
  </si>
  <si>
    <t>16 of The Company's issued patents are currently set to expire between 2025 and 2026</t>
  </si>
  <si>
    <t xml:space="preserve">Look into long term patent expire schedule … explore differences between Pharma IP and Med-Tech IP expiries </t>
  </si>
  <si>
    <t>https://venousnews.com/penumbra-announces-fda-clearance-of-lightning-flash-2-for-the-treatment-of-pe-2/</t>
  </si>
  <si>
    <t>Stryker's Managers stated they see "mechanical thrombectomy for VTE as a $15 billion TAM globally" after acquiring competing firm Inari Medical</t>
  </si>
  <si>
    <t>Commoditization of subsegments such as (aneurysm) coiling?</t>
  </si>
  <si>
    <t>R&amp;D spend is treated as an expense (by accountants at least), but in MedTech it almost acts as a capital-like investment into the firm's future product mix … How do we as investors account for this?</t>
  </si>
  <si>
    <t>There are a variety of assumptions listed above that immediately invalidate the calculated valuation and any potential upside/downside. I hope to continue iterating on this model in order to better capture the firm's true potential value on the open market</t>
  </si>
  <si>
    <t>My terminal value makes an assumption of strong, stable future revenues and margins, but Med-Tech is prone to patent expiry cliffs (similar to pharma) and FDA/health regulation risks</t>
  </si>
  <si>
    <t>After completing full DCF model (from cash flows and not the net income shortcut), build out a reverse DCF snapshot to assist in making inferences on the market's assumptions for The Company's future operating performance</t>
  </si>
  <si>
    <t>Perishability of devices, and the sterile/expiry constraints is still a concern/figure to watch for --&gt; watch for large Inventory write-downs in Stmt. Of Cash Flow</t>
  </si>
  <si>
    <t>The Firm turns inventory over ~ once a year at current rates and balances</t>
  </si>
  <si>
    <t>High capital intensity… that Inventory costs money to manufacture and store ... MUST be sold to generate revenue (and collected upon by the A/R team to convert to cash)</t>
  </si>
  <si>
    <t>The latest generation of Penumbra’s continuous aspiration thrombectomy system features Indigo System Lightning 12 which combines the new Indigo System CAT 12 Aspiration Catheter with Lightning Intelligent Aspiration powered by Penumbra ENGINE, enabling physicians to focus on optimizing thrombus removal using the system’s unique clot detection mechanism. The Indigo System’s proprietary Separator technology, Separator 12 is also available with Lightning 12 and is designed to enable unobstructed aspiration for the duration of the procedure. Lightning 12 and Separator 12 are designed for the removal of fresh, soft emboli and thrombi from the peripheral arterial and venous systems, and for the treatment of pulmonary embolism</t>
  </si>
  <si>
    <t>In addition to Lightning 12, the Indigo System also now includes Lightning 8 which combines the Indigo System CAT 8 Aspiration Catheter with Lightning Intelligent Aspiration for the removal of fresh, soft emboli and thrombi from the peripheral arterial and venous systems, and for the treatment of pulmonary embolism</t>
  </si>
  <si>
    <t xml:space="preserve"> Lightning 12 and Lightning 8 expand the already broad offering of CAT8, CATD, CAT6, CAT5, and CAT3 and are paired with Penumbra ENGINE, the company’s proprietary continuous, mechanical vacuum aspiration pump</t>
  </si>
  <si>
    <t>Indigo is designed and marketed as a modular system -- catheters of various sizes (CAT3–CAT12), Separators, and the Penumbra ENGINE can be combined and tailored to the specific vessel size and clinical scenario</t>
  </si>
  <si>
    <t>Note:</t>
  </si>
  <si>
    <t>Product efficacy development:</t>
  </si>
  <si>
    <t>The Indigo system now covers peripheral arterial and venous thrombectomy, pulmonary embolism, dialysis access, and coronary thrombectomy, making it one of the most versatile and comprehensive aspiration thrombectomy platforms available today</t>
  </si>
  <si>
    <t>The Indigo System has developed/evolved from a peripheral aspiration thrombectomy device to a comprehensive, modular platform with intelligent, computer-aided components addressing arterial, venous, pulmonary, dialysis, and coronary clot removal</t>
  </si>
  <si>
    <t>“Lightning Flash 2 now combines an optimally sized catheter with the latest algorithm technology designed to more efficiently remove blood clots while maintaining a high level of safety,” said Adam Elsesser, president and chief executive officer of Penumbra. “Our ongoing innovation around CAVT underscores our commitment to advancing patient care so that more patients suffering from these complicated conditions can benefit from this advanced therapy.”</t>
  </si>
  <si>
    <t>Gives a chance to study other operators, their financial standing, + the technological "asset value" firms possess (which is where the real α is found from an equity interest)</t>
  </si>
  <si>
    <t>https://www.penumbrainc.com/products/neuro-thrombectomy/</t>
  </si>
  <si>
    <t>Lightning 8: Peripheral arterial/venous and pulmonary embolism (PE)</t>
  </si>
  <si>
    <t>https://www.penumbrainc.com/products/peripheral-thrombectomy-cavt/</t>
  </si>
  <si>
    <t>Neuro Thrombectomy System:</t>
  </si>
  <si>
    <t>System Overview:</t>
  </si>
  <si>
    <r>
      <t xml:space="preserve">The Penumbra System includes </t>
    </r>
    <r>
      <rPr>
        <b/>
        <sz val="11"/>
        <color theme="1"/>
        <rFont val="Calibre"/>
      </rPr>
      <t>RED® Reperfusion Catheters</t>
    </r>
    <r>
      <rPr>
        <sz val="11"/>
        <color theme="1"/>
        <rFont val="Calibre"/>
      </rPr>
      <t xml:space="preserve">, </t>
    </r>
    <r>
      <rPr>
        <b/>
        <sz val="11"/>
        <color theme="1"/>
        <rFont val="Calibre"/>
      </rPr>
      <t>3D Revascularization Device™</t>
    </r>
    <r>
      <rPr>
        <sz val="11"/>
        <color theme="1"/>
        <rFont val="Calibre"/>
      </rPr>
      <t xml:space="preserve">, </t>
    </r>
    <r>
      <rPr>
        <b/>
        <sz val="11"/>
        <color theme="1"/>
        <rFont val="Calibre"/>
      </rPr>
      <t>Penumbra ENGINE® Aspiration Source</t>
    </r>
    <r>
      <rPr>
        <sz val="11"/>
        <color theme="1"/>
        <rFont val="Calibre"/>
      </rPr>
      <t xml:space="preserve">, and </t>
    </r>
    <r>
      <rPr>
        <b/>
        <sz val="11"/>
        <color theme="1"/>
        <rFont val="Calibre"/>
      </rPr>
      <t>accessories</t>
    </r>
  </si>
  <si>
    <t>The latest generation of the Penumbra System features the Penumbra RED Reperfusion Catheters (RED 43, RED 62, RED 68, RED 72 SILVER LABEL, and RED 72 SILVER LABEL with SENDit® Technology)</t>
  </si>
  <si>
    <t>MAX Catheters</t>
  </si>
  <si>
    <t>Aspiration Tubing &amp; Accessories</t>
  </si>
  <si>
    <t>JET Catheters
(JET 7, JET D)</t>
  </si>
  <si>
    <t>All Neuro systems</t>
  </si>
  <si>
    <t>Pipeline:</t>
  </si>
  <si>
    <r>
      <rPr>
        <i/>
        <sz val="11"/>
        <color theme="1"/>
        <rFont val="Calibre"/>
      </rPr>
      <t>Restores</t>
    </r>
    <r>
      <rPr>
        <sz val="11"/>
        <color theme="1"/>
        <rFont val="Calibre"/>
      </rPr>
      <t xml:space="preserve"> blood flow by clearing a blockage</t>
    </r>
  </si>
  <si>
    <t>Embolization:</t>
  </si>
  <si>
    <r>
      <rPr>
        <i/>
        <sz val="11"/>
        <color theme="1"/>
        <rFont val="Calibre"/>
      </rPr>
      <t>Stops</t>
    </r>
    <r>
      <rPr>
        <sz val="11"/>
        <color theme="1"/>
        <rFont val="Calibre"/>
      </rPr>
      <t xml:space="preserve"> blood flow to prevent or control bleeding or to cut off supply to abnormal tissue</t>
    </r>
  </si>
  <si>
    <t>Penumbra’s Thunderbolt is an advanced aspiration tubing system designed for use with the Penumbra System in mechanical thrombectomy procedures, especially for acute ischemic stroke caused by large vessel occlusion (LVO). Thunderbolt leverages computer-assisted vacuum thrombectomy (CAVT) technology, utilizing proprietary software algorithms to modulate aspiration. This approach reduces friction between the clot and the reperfusion catheter, enabling swifter and more thorough clot removal</t>
  </si>
  <si>
    <t>Thunderbolt is designed to work with the Penumbra ENGINE and RED reperfusion catheters, integrating seamlessly into Penumbra’s neurovascular thrombectomy platform</t>
  </si>
  <si>
    <t>The modulated aspiration capabilities of Thunder is a key differentiator, aiming to enhance procedural efficiency and completeness of clot removal in the brain</t>
  </si>
  <si>
    <t>THUNDER Study: Penumbra completed enrollment in the pivotal THUNDER IDE (Investigational Device Exemption) study in October 2024. This multicenter, single-arm trial evaluates the safety and efficacy of the Penumbra System with Thunderbolt Aspiration Tubing in patients with acute ischemic stroke due to intracranial LVO</t>
  </si>
  <si>
    <t>https://interventionalnews.com/penumbra-announces-completion-of-enrolment-in-thunder-ide-study/</t>
  </si>
  <si>
    <t>“The THUNDER study will provide the dataset needed to evaluate Penumbra’s Thunderbolt technology and I am optimistic that we are at the dawn of a new era in stroke treatment” said Elsesser</t>
  </si>
  <si>
    <t>Thunderbolt aspiration tubing has been designed for use with the Penumbra Engine and Red reperfusion catheters, the release adds</t>
  </si>
  <si>
    <t>https://fdaaa.trialstracker.net/trial/NCT05437055/</t>
  </si>
  <si>
    <t>Indigo System (Base Technology) Overview &amp; Timeline</t>
  </si>
  <si>
    <t>Original Indigo System Launch (Pre-IPO/2015)</t>
  </si>
  <si>
    <t>Product Line Expansion (IPO/2015-2020)</t>
  </si>
  <si>
    <t>How the Indigo / Pheripheral Thrombectomy Portfolio "Comes Together"</t>
  </si>
  <si>
    <t>Lightning technology (Lightning 7, 8, 12, Flash, Flash 2) adds computer-aided aspiration, real-time feedback, and clot detection, enhancing safety and procedural efficiency across all major indications</t>
  </si>
  <si>
    <t>Required reporting date: Sept. 23 2025</t>
  </si>
  <si>
    <t>Description:</t>
  </si>
  <si>
    <t>I am treating this as an exercise to improve my excel modeling skills, to become more comfortable with researching public companies using a variety of professional resources, and to begin developing a deeper understanding of The Business's products/markets, operations and current financial standing</t>
  </si>
  <si>
    <r>
      <t xml:space="preserve">I understand that to accurately value a firm's common stock, the analyst must derive an NPV from a series of </t>
    </r>
    <r>
      <rPr>
        <i/>
        <sz val="11"/>
        <color rgb="FF0070C0"/>
        <rFont val="Calibre"/>
      </rPr>
      <t xml:space="preserve">discounted cash flows, </t>
    </r>
    <r>
      <rPr>
        <sz val="11"/>
        <color rgb="FF0070C0"/>
        <rFont val="Calibre"/>
      </rPr>
      <t xml:space="preserve">not net income (which adheres to GAAP and includes non-cash expenses such as D&amp;A, and does not consider the firm's </t>
    </r>
    <r>
      <rPr>
        <i/>
        <sz val="11"/>
        <color rgb="FF0070C0"/>
        <rFont val="Calibre"/>
      </rPr>
      <t>future</t>
    </r>
    <r>
      <rPr>
        <sz val="11"/>
        <color rgb="FF0070C0"/>
        <rFont val="Calibre"/>
      </rPr>
      <t xml:space="preserve"> cash outflows such as CapEx investment demand or ΔNWC)</t>
    </r>
  </si>
  <si>
    <t>No SBC adjustments -- SBC is a very real expense in the form of dilution, but is still non-cash; excluding SBC adjustments leads to an overstatement in the firms calculated equity value (for fully integrated 3 statement model)</t>
  </si>
  <si>
    <t>Expanding manufacturing to Costa Rica</t>
  </si>
  <si>
    <t>The leases for these nine buildings expire at various times in 2036, subject to our option to renew certain leases for an additional five to fifteen years</t>
  </si>
  <si>
    <t>The leases for these two buildings expire in 2035, subject to our option to renew the leases for an additional five to ten years</t>
  </si>
  <si>
    <t>An additional approximately 50,000 square feet of space in one of the buildings, located at 620 Roseville Parkway, will be added to the lease upon the completion of certain improvements to the premises, which are expected to commence in 2025</t>
  </si>
  <si>
    <t>The leases for the Livermore warehouse spaces expire at various times in 2025 to 2028</t>
  </si>
  <si>
    <t>The lease for the Salt Lake City warehouse expires in 2027, subject to our option to renew the lease for an additional five years</t>
  </si>
  <si>
    <r>
      <t xml:space="preserve">The Company also leases office and/or warehouse space in Germany, Italy, Brazil, Australia, Singapore, Japan, Hong Kong and Taiwan as of December 31, 2024 </t>
    </r>
    <r>
      <rPr>
        <b/>
        <sz val="11"/>
        <color theme="1"/>
        <rFont val="Calibre"/>
      </rPr>
      <t>&lt;-- MNC … Evaluate foreign operations</t>
    </r>
  </si>
  <si>
    <t>(Livermore site is next door to Stryker's distribution center… pretty cool, and gives vision to a bigger future for The Company)</t>
  </si>
  <si>
    <r>
      <rPr>
        <b/>
        <sz val="11"/>
        <color theme="1"/>
        <rFont val="Calibre"/>
      </rPr>
      <t>The capital project is expected to cost approximately $35 million</t>
    </r>
    <r>
      <rPr>
        <sz val="11"/>
        <color theme="1"/>
        <rFont val="Calibre"/>
      </rPr>
      <t>, excluding certain improvements to the facility that the Company plans to undertake in connection with the construction of the facility</t>
    </r>
  </si>
  <si>
    <r>
      <t xml:space="preserve">The office in </t>
    </r>
    <r>
      <rPr>
        <b/>
        <sz val="11"/>
        <color theme="1"/>
        <rFont val="Calibre"/>
      </rPr>
      <t>Germany supports our direct sales operations in Europe</t>
    </r>
    <r>
      <rPr>
        <sz val="11"/>
        <color theme="1"/>
        <rFont val="Calibre"/>
      </rPr>
      <t xml:space="preserve"> as well as </t>
    </r>
    <r>
      <rPr>
        <b/>
        <sz val="11"/>
        <color theme="1"/>
        <rFont val="Calibre"/>
      </rPr>
      <t>distributor relationships in Europe and the Middle East</t>
    </r>
  </si>
  <si>
    <r>
      <t xml:space="preserve">The offices in </t>
    </r>
    <r>
      <rPr>
        <b/>
        <sz val="11"/>
        <color theme="1"/>
        <rFont val="Calibre"/>
      </rPr>
      <t>Brazil, Australia, Singapore, Japan, Hong Kong and Taiwan support our sales and marketing efforts</t>
    </r>
    <r>
      <rPr>
        <sz val="11"/>
        <color theme="1"/>
        <rFont val="Calibre"/>
      </rPr>
      <t xml:space="preserve">, including </t>
    </r>
    <r>
      <rPr>
        <b/>
        <sz val="11"/>
        <color theme="1"/>
        <rFont val="Calibre"/>
      </rPr>
      <t>through our distribution partners, in Latin America, Australia and Southeast Asia</t>
    </r>
  </si>
  <si>
    <r>
      <t xml:space="preserve">The offices in </t>
    </r>
    <r>
      <rPr>
        <b/>
        <sz val="11"/>
        <color theme="1"/>
        <rFont val="Calibre"/>
      </rPr>
      <t>Italy support the operations of Crossmed S.p.A.</t>
    </r>
    <r>
      <rPr>
        <sz val="11"/>
        <color theme="1"/>
        <rFont val="Calibre"/>
      </rPr>
      <t xml:space="preserve">, our wholly-owned subsidiary in Italy, including </t>
    </r>
    <r>
      <rPr>
        <b/>
        <sz val="11"/>
        <color theme="1"/>
        <rFont val="Calibre"/>
      </rPr>
      <t>supporting our direct sales operations in Italy, San Marino, Vatican City, and Switzerland</t>
    </r>
  </si>
  <si>
    <r>
      <t xml:space="preserve">In addition, The Company leases approximately </t>
    </r>
    <r>
      <rPr>
        <b/>
        <sz val="11"/>
        <color theme="1"/>
        <rFont val="Calibre"/>
      </rPr>
      <t>70,000 square feet of warehouse space in Livermore</t>
    </r>
    <r>
      <rPr>
        <sz val="11"/>
        <color theme="1"/>
        <rFont val="Calibre"/>
      </rPr>
      <t xml:space="preserve">, California, and </t>
    </r>
    <r>
      <rPr>
        <b/>
        <sz val="11"/>
        <color theme="1"/>
        <rFont val="Calibre"/>
      </rPr>
      <t>approximately 100,000 square feet of warehouse space in Salt Lake City</t>
    </r>
    <r>
      <rPr>
        <sz val="11"/>
        <color theme="1"/>
        <rFont val="Calibre"/>
      </rPr>
      <t>, Utah</t>
    </r>
  </si>
  <si>
    <r>
      <t>The Company also leases</t>
    </r>
    <r>
      <rPr>
        <b/>
        <sz val="11"/>
        <color theme="1"/>
        <rFont val="Calibre"/>
      </rPr>
      <t xml:space="preserve"> approximately 210,000 square feet of office and manufacturing facilities in two buildings in Roseville</t>
    </r>
    <r>
      <rPr>
        <sz val="11"/>
        <color theme="1"/>
        <rFont val="Calibre"/>
      </rPr>
      <t>, California</t>
    </r>
  </si>
  <si>
    <r>
      <t xml:space="preserve">The Company maintains </t>
    </r>
    <r>
      <rPr>
        <b/>
        <sz val="11"/>
        <color theme="1"/>
        <rFont val="Calibre"/>
      </rPr>
      <t>approximately 610,000 square feet of office, R&amp;D, manufacturing and administrative facilities in nine buildings at our campus in Alameda</t>
    </r>
    <r>
      <rPr>
        <sz val="11"/>
        <color theme="1"/>
        <rFont val="Calibre"/>
      </rPr>
      <t>, California as of December 31, 2024</t>
    </r>
  </si>
  <si>
    <t>In accordance with ASC 360, the Company capitalized these payments within property and equipment, net, in the condensed consolidated balance sheets, as they represent costs directly attributable to acquiring the assets and preparing them for their intended use, including the cost of land, work performed and advance payments that are capitalizable as part of the project</t>
  </si>
  <si>
    <t xml:space="preserve">Alameda: </t>
  </si>
  <si>
    <t xml:space="preserve">Roseville: </t>
  </si>
  <si>
    <t xml:space="preserve">Livermore: </t>
  </si>
  <si>
    <t xml:space="preserve">Salt Lake City: </t>
  </si>
  <si>
    <t xml:space="preserve">Costa Rica: </t>
  </si>
  <si>
    <t>Σ:</t>
  </si>
  <si>
    <t>610k</t>
  </si>
  <si>
    <t xml:space="preserve"> sq. ft.</t>
  </si>
  <si>
    <t xml:space="preserve">210k </t>
  </si>
  <si>
    <t xml:space="preserve"> + 50k sq. ft. expansion set for 2025 </t>
  </si>
  <si>
    <t xml:space="preserve">70k </t>
  </si>
  <si>
    <t xml:space="preserve">100k </t>
  </si>
  <si>
    <t xml:space="preserve">330k </t>
  </si>
  <si>
    <t>1,370k</t>
  </si>
  <si>
    <t>Location:</t>
  </si>
  <si>
    <t>Share Repurchase Program:</t>
  </si>
  <si>
    <r>
      <rPr>
        <b/>
        <sz val="11"/>
        <color theme="1"/>
        <rFont val="Calibre"/>
      </rPr>
      <t>On August 5, 2024, the Company’s Board of Directors approved a share repurchase authorization in the amount of up to $200.0 million</t>
    </r>
    <r>
      <rPr>
        <sz val="11"/>
        <color theme="1"/>
        <rFont val="Calibre"/>
      </rPr>
      <t>, allowing the Company to repurchase its common stock from time to time at such prices as it deems appropriate through open market purchases, block transactions, privately negotiated transactions, including accelerated share repurchase transactions, or otherwise</t>
    </r>
  </si>
  <si>
    <t>Under this authorization, the Company entered into an accelerated share repurchase agreement (“ASR”) with JPMorgan Chase Bank, National Association to repurchase $100.0 million of the Company’s common stock during the three months ended September 30, 2024</t>
  </si>
  <si>
    <t>During the three months ended September 30, 2024, the Company repurchased an aggregate of 517,763 shares under the ASR at an aggregate cost of $100.4 million, including legal and financial advisor fees of $0.4 million associated with the repurchase</t>
  </si>
  <si>
    <t>As of September 30, 2024, the Company had remaining authority to purchase $100.0 million of its common stock under the share repurchase authorization</t>
  </si>
  <si>
    <t>The Company attributes it's success to their culture built on cooperation, it's highly efficient product innovation process, it's disciplined approach to product and commercial development, it's deep understanding of it's target end markets and it's relationships with specialist physicians and other healthcare providers. We believe these factors have enabled us to rapidly innovate in a highly efficient manner</t>
  </si>
  <si>
    <t>The Company sells it's products to healthcare providers primarily through it's direct sales organization in the United States, most of Europe, Canada and Australia, as well as through distributors in select international markets</t>
  </si>
  <si>
    <r>
      <t xml:space="preserve">Track and quantify the total write-down/impairment of Immersive </t>
    </r>
    <r>
      <rPr>
        <b/>
        <sz val="11"/>
        <color theme="1"/>
        <rFont val="Calibre"/>
      </rPr>
      <t xml:space="preserve">!!Important!! </t>
    </r>
  </si>
  <si>
    <r>
      <t xml:space="preserve">During the </t>
    </r>
    <r>
      <rPr>
        <b/>
        <sz val="11"/>
        <color theme="1"/>
        <rFont val="Calibre"/>
      </rPr>
      <t>year ended December 31, 2024, The Company made the strategic decision to wind down and exit it's Immersive Healthcare business</t>
    </r>
    <r>
      <rPr>
        <sz val="11"/>
        <color theme="1"/>
        <rFont val="Calibre"/>
      </rPr>
      <t xml:space="preserve">, and as a result, </t>
    </r>
    <r>
      <rPr>
        <b/>
        <sz val="11"/>
        <color theme="1"/>
        <rFont val="Calibre"/>
      </rPr>
      <t>incurred $115.3 million in impairment and other charges</t>
    </r>
    <r>
      <rPr>
        <sz val="11"/>
        <color theme="1"/>
        <rFont val="Calibre"/>
      </rPr>
      <t xml:space="preserve"> in connection with this decision</t>
    </r>
  </si>
  <si>
    <r>
      <t xml:space="preserve">Obsolescence of old products as new products come to market, rendering older inventory "worthless" </t>
    </r>
    <r>
      <rPr>
        <b/>
        <sz val="11"/>
        <color theme="1"/>
        <rFont val="Calibre"/>
      </rPr>
      <t>(e.g. Lightning 2.0 taking over 1.0; a competing firm releases an innovative offering in the same market, eroding economic profits)</t>
    </r>
  </si>
  <si>
    <t>Relatively unesoteric balance sheet. It would be nice to have an inventory breakdown by product (is all the inventory low margin catheters, or a bunch of brand new INDIGO systems sitting around?</t>
  </si>
  <si>
    <t>Revenue Recognition:</t>
  </si>
  <si>
    <t>Revenue is primarily comprised of product revenue net of returns, discounts, administration fees and sales rebates</t>
  </si>
  <si>
    <t>The Company recognizes revenue when control of the promised goods or services is transferred to our customers, in an amount that reflects the consideration we expect to be entitled to in exchange for those goods or services</t>
  </si>
  <si>
    <t>Revenue from product sales is recognized either on the date of shipment or the date of receipt by the customer, but is deferred for certain transactions when control has not yet transferred</t>
  </si>
  <si>
    <t>The transfer of legal title can be an important indicator of control, but it is not the sole determinant</t>
  </si>
  <si>
    <r>
      <t xml:space="preserve">Under current GAAP (specifically ASC 606), revenue is recognized when </t>
    </r>
    <r>
      <rPr>
        <i/>
        <sz val="11"/>
        <color theme="1"/>
        <rFont val="Calibre"/>
      </rPr>
      <t>control</t>
    </r>
    <r>
      <rPr>
        <sz val="11"/>
        <color theme="1"/>
        <rFont val="Calibre"/>
      </rPr>
      <t xml:space="preserve"> of a promised good or service is transferred to the customer</t>
    </r>
  </si>
  <si>
    <t>https://viewpoint.pwc.com/dt/us/en/pwc/accounting_guides/revenue</t>
  </si>
  <si>
    <t>Certain arrangements with customers contain multiple performance obligations</t>
  </si>
  <si>
    <t>For these contracts, each promise is evaluated to determine if it is a performance obligation</t>
  </si>
  <si>
    <t>Revenue is allocated to each performance obligation based on its relative standalone selling price</t>
  </si>
  <si>
    <t>Standalone selling prices are based on observable prices at which we separately sell the products or services</t>
  </si>
  <si>
    <t>If a standalone selling price is not directly observable, then we estimate the standalone selling prices considering market conditions and entity-specific factors including, but not limited to, the expected cost and margin of the products and services, geographies, and other market conditions</t>
  </si>
  <si>
    <t>The use of alternative estimates could result in a different amount of revenue deferral</t>
  </si>
  <si>
    <t>The Company defers revenue for amounts that have already been invoiced to customers and are ultimately expected to be recognized as revenue, but for which not all revenue recognition criteria have been met</t>
  </si>
  <si>
    <t>Revenue is recorded at the net sales price, which includes estimates of variable consideration such as product returns utilizing historical return rates, rebates, discounts, and other adjustments to net revenue</t>
  </si>
  <si>
    <t>To the extent the transaction price includes variable consideration, we estimate the amount of variable consideration that should be included in the transaction price</t>
  </si>
  <si>
    <t>Variable consideration is included in revenue only to the extent that it is probable that a significant reversal of the revenue recognized will not occur when the uncertainty associated with the variable consideration is subsequently resolved</t>
  </si>
  <si>
    <t>During the year ended December 31, 2024, The Company had made no material changes in estimates for variable consideration</t>
  </si>
  <si>
    <t>Upon recognition, we reduce revenue and cost of revenue for the estimated return</t>
  </si>
  <si>
    <t>Return rates can fluctuate over time, but are sufficiently predictable to allow us to estimate expected future product returns</t>
  </si>
  <si>
    <t>Interesting … I wonder what factors lead to a customer returning a product</t>
  </si>
  <si>
    <t>~350k</t>
  </si>
  <si>
    <t>~2m</t>
  </si>
  <si>
    <t>~2.4m</t>
  </si>
  <si>
    <t>~250k</t>
  </si>
  <si>
    <t>~2.25m</t>
  </si>
  <si>
    <t>~2.5m</t>
  </si>
  <si>
    <t>~200k</t>
  </si>
  <si>
    <t>~1.9m</t>
  </si>
  <si>
    <t>~2.1m</t>
  </si>
  <si>
    <t>~300k</t>
  </si>
  <si>
    <t>~8m</t>
  </si>
  <si>
    <t>~8.3m</t>
  </si>
  <si>
    <t>Facilities:</t>
  </si>
  <si>
    <t>While Adam has been manning the corporate ship, it is my understanding that Arani is at the forefront of product demonstration and outreach</t>
  </si>
  <si>
    <t>Inventories are definitely the working capital line item to track intimately</t>
  </si>
  <si>
    <t>I personally see this as a positive for the business … The Company is modernizing it's governance structure -&gt; could be working on going from mid to large cap which requires capital market support</t>
  </si>
  <si>
    <t>Executives &amp; insiders still control a significant majority of voting power (appx. 40% as of Q4'24)</t>
  </si>
  <si>
    <t>Revenue also includes shipping and handling costs that we charge to customers</t>
  </si>
  <si>
    <t>Cost of revenue consists primarily of the cost of raw materials and components, personnel costs, including stock-based compensation, inbound freight charges, receiving costs, inspection and testing costs, warehousing costs, royalty expense, shipping and handling costs and other labor and overhead costs incurred in the manufacturing of products</t>
  </si>
  <si>
    <t>The Company manufactures substantially all products in it's manufacturing facilities in Alameda and Roseville, California … expansion into Costa Rica</t>
  </si>
  <si>
    <t>R&amp;D expenses primarily consist of product development, clinical and regulatory expenses, materials, depreciation and other costs associated with the development of our products</t>
  </si>
  <si>
    <t>SG&amp;A expenses primarily consist of salaries, benefits and other related costs, including stock-based compensation, for personnel and consultants engaged in sales, marketing, finance, legal, compliance, administrative, facilities and information technology and human resource activities</t>
  </si>
  <si>
    <t>SG&amp;A expenses also include marketing trials, medical education, training, commissions, generally based on sales, to direct sales representatives, amortization of acquired intangible assets and acquisition-related costs</t>
  </si>
  <si>
    <t>The composite income tax rate, tax provisions, deferred tax assets and deferred tax liabilities will vary according to the jurisdiction in which profits arise</t>
  </si>
  <si>
    <t>Deferred tax assets and liabilities are determined using the enacted tax rates in effect for the years in which those tax assets are expected to be realized</t>
  </si>
  <si>
    <t>A valuation allowance is established when it is more likely than not that the future realization of all or some of the DTAs will not be achieved</t>
  </si>
  <si>
    <t>Management's 2023 guidance is proving accurate as margin improvements begin to rapidly expand (both Gross &amp; Net)</t>
  </si>
  <si>
    <t>[Continue to insert all disclosed risks]</t>
  </si>
  <si>
    <t>Lead Underwriting Institutions:</t>
  </si>
  <si>
    <t>With respect to products that The Company consigns to hospitals, which primarily consist of coils, it recognizes revenue at the time hospitals utilize products in a procedure</t>
  </si>
  <si>
    <t>Comparing The Company's figures to the total Thrombectomy Device market, The Company holds ~16% market share, and is growing faster than the wider Thrombectomy market, indicating they are taking market share</t>
  </si>
  <si>
    <t>Additional efforts by management (specifically co-founder Arani Bose) to begin awareness campaigns into the merits of mechanical intervention above established pharmacological treatments available &amp; alternative MedTech offerings</t>
  </si>
  <si>
    <t>COGS:</t>
  </si>
  <si>
    <t xml:space="preserve">Substantially all products are manufactured in Alameda and Roseville </t>
  </si>
  <si>
    <t>SG&amp;A:</t>
  </si>
  <si>
    <t>R&amp;D expenses also include salaries, benefits and other related costs, including stock-based compensation, for personnel and consultants</t>
  </si>
  <si>
    <t>Income Tax Expenses:</t>
  </si>
  <si>
    <t>We are taxed at the rates applicable within each jurisdiction in which we operate</t>
  </si>
  <si>
    <t>Tax laws are complex and subject to different interpretations by management and the respective governmental taxing authorities, and require us to exercise judgment in determining our income tax provision, deferred tax assets and deferred tax liabilities and the potential valuation allowance recorded against net DTAs</t>
  </si>
  <si>
    <t>Healthcare Fraud &amp; Abuse Regulations:</t>
  </si>
  <si>
    <t>Business Risks:</t>
  </si>
  <si>
    <t>R&amp;D:</t>
  </si>
  <si>
    <t>Strong track record of organic product development and commercial expansion that has established a strong foundation for The Company's global operations</t>
  </si>
  <si>
    <t>Human Capital Resources:</t>
  </si>
  <si>
    <t>Innovation is in MedTech is absolutely key; consequences include falling behind in the value chain -&gt; reduces earnings potential if The Company falls behind in product pipeline while requiring the same if not more R&amp;D spend to catch up/leapfrog competitors back into a dominant position (think mix between semiconductor and biopharma industries)</t>
  </si>
  <si>
    <t>The Company has continued licensing the technology of certain products to existing distribution partner in China pursuant to a series of licensing arrangements entered into in December 2020, February 2022, September 2023 and March 2024, which permit The Company's partner to manufacture and commercialize such products in China in exchange for fixed payments upon the transfer of the distinct licensed technology and upon the provision of related regulatory support, as well as, in certain cases, royalty payments on downstream sales of the licensed products</t>
  </si>
  <si>
    <t>The Company's direct sales have been, and The Company anticipate will continue to represent, a majority of The Company's revenues</t>
  </si>
  <si>
    <r>
      <t xml:space="preserve">I need to look more into how The Company started… </t>
    </r>
    <r>
      <rPr>
        <b/>
        <sz val="11"/>
        <color theme="1"/>
        <rFont val="Calibre"/>
      </rPr>
      <t>does Penumbra currently target engineers from med tech firms that have worked on similar projects? (is there a secret sauce talent pool of Med-Tech engineers similar to the Taiwanese with Semis… look into engineering talent pool across firms)</t>
    </r>
  </si>
  <si>
    <t>In 2024, direct sales accounted for approximately 87% of The Company revenue, with the balance generated by independent distributors that sell products outside of the United States and by the arrangements with partners in China, which include licensing royalty and distribution revenue</t>
  </si>
  <si>
    <t>Square Footage</t>
  </si>
  <si>
    <t>Thirty-seven of The Company issued patents, which relate to components of the Penumbra Coil 400, Ruby Coil System and Smart Coil System, are currently expected to expire between 2029 and 2037</t>
  </si>
  <si>
    <t>Eighteen patents pertaining to the 3D Revascularization Device are projected to expire between 2032 and 2034</t>
  </si>
  <si>
    <t>… is their such a thing as a "generic" cutting edge thrombectomy product … definitely wouldn't have a 66% gross margin</t>
  </si>
  <si>
    <t>Most of these competitors are large, well-capitalized companies with longer operating histories and greater resources than The Company has</t>
  </si>
  <si>
    <t>&lt;- Acquired by Stryker (Feb. 20, 2025) for ~$4.9 billion (an incredible 60% premium on the trading market valuation) … Stryker has a talented management team with a long term track record of successful M&amp;A activity … what are they seeing here that demanded such a premium (for context NARI was ultimately acquired for ~ it's IPO valuation... so was it really a massive premium?... do the work and find out!!!)</t>
  </si>
  <si>
    <t>&lt;- Acquired in 2017 by Shandong Weigao Group (Chinese) for $850M</t>
  </si>
  <si>
    <t>The Company's products are subject to extensive and ongoing regulation by the United States Food and Drug Administration (“FDA”) under the Federal Food, Drug, and Cosmetic Act (the “FD&amp;C Act”) and its implementing regulations, as well as other federal and state regulatory bodies in the United States and comparable authorities in other countries under other statutes and regulations</t>
  </si>
  <si>
    <t>The repurchase authorization expires on July 31, 2025 … Will The company enter another block trade on current stock price weakness?</t>
  </si>
  <si>
    <t xml:space="preserve">Follows similar market dynamics to pharma / pharma economics </t>
  </si>
  <si>
    <t>! Important ! As of December 31, 2024, The Company owned and/or had rights to 120 issued patents globally, of which 58 were U.S. patents. As of December 31, 2024, The Company owned and/or had rights to 55 pending patent applications, of which 29 The were patent applications pending in the United States</t>
  </si>
  <si>
    <t>Any delays in The Company's product launches may significantly impede The Company's ability to enter or compete in a given market and may reduce the sales that The Company are able to generate from these products</t>
  </si>
  <si>
    <t>[Equity Performance Compared to Peers] April 20th, 2025</t>
  </si>
  <si>
    <t>Potential inference advancements if I employ kernel density estimates for a empirical return distribution (adjusts/accounts for extreme outliers better than current approach)</t>
  </si>
  <si>
    <t>Share Repurchase Program Scope --- ASR program $100m in Aug 2024 … allotted cash to share repurchases was $200m from recollection … $100m remaining for strategic stock repurchase expires July 2025</t>
  </si>
  <si>
    <t>Working to uncover/understand qualitative factors may also unlock a view into the markets reasoning behind justifying a large equity premium from a glance ... ("I don’t pay an analyst big bucks to tell me if a 6x P/E Fwd. sotck is cheap… I pay them to tell me if a 156x Fwd. P/E stock is cheap!")</t>
  </si>
  <si>
    <t>Understanding the market factors baked into a valuation are of upmost importance (think TSLA's valuation, with AVs already being priced in)</t>
  </si>
  <si>
    <t>The Company considers a number of factors when determining whether a promise is a contractual performance obligation, including whether the customer can benefit from the good or service on its own or together with other resources that are readily available to the customer or whether the goods or services are highly interdependent</t>
  </si>
  <si>
    <r>
      <rPr>
        <sz val="11"/>
        <color theme="1"/>
        <rFont val="Calibre"/>
      </rPr>
      <t>The Company's</t>
    </r>
    <r>
      <rPr>
        <b/>
        <sz val="11"/>
        <color theme="1"/>
        <rFont val="Calibre"/>
      </rPr>
      <t xml:space="preserve"> TOS permit product returns and exchanges</t>
    </r>
  </si>
  <si>
    <t>The Company bases it's estimates for sales returns on actual historical returns and they are recorded as reductions in revenue at the time of sale</t>
  </si>
  <si>
    <t>Commit to an inventory turnover model!!! Inventories are a large portion of the firms balance sheet and from my understanding have a "limited" shelf life, and because they are medical products, require extra care ($) in storing the units</t>
  </si>
  <si>
    <t>ThunderBolt for neurovascular thrombectomy segment</t>
  </si>
  <si>
    <t>+ additional Euro, LatAm &amp; APac facilities</t>
  </si>
  <si>
    <t>Identify key sectoral KPI's, which drive material changes in common stock price (Pricing v. Volume Mix; Complete product pipeline schedules; Clinical/Medical representative support)</t>
  </si>
  <si>
    <t>Higher than average terminal rate value (~1.4x GDP)</t>
  </si>
  <si>
    <t>Long-term NI ≈ FCF (sub assumptions: CapEx purely maintenance ... D&amp;A netting out CapEx balance, No delta in WC)</t>
  </si>
  <si>
    <t xml:space="preserve">Focus on bringing the amount of assumptions down (many of which can addressed by simply completing a projected Stmt. of Cash Flow) </t>
  </si>
  <si>
    <t>Each one of my inputs (terminal, cost of debt/equity, ROIC and others) for the end NPV calculation should have separate tables to record all assumptions/formulaic inputs</t>
  </si>
  <si>
    <t>Build out models for firms with competitive overlap + other operators in the MedTech/Life Science industries; mosaic theory some comparables</t>
  </si>
  <si>
    <r>
      <t xml:space="preserve">While my current net income based model provides a </t>
    </r>
    <r>
      <rPr>
        <i/>
        <sz val="11"/>
        <color rgb="FF0070C0"/>
        <rFont val="Calibre"/>
      </rPr>
      <t xml:space="preserve">rough </t>
    </r>
    <r>
      <rPr>
        <sz val="11"/>
        <color rgb="FF0070C0"/>
        <rFont val="Calibre"/>
      </rPr>
      <t xml:space="preserve">estimate, transitioning to an expanded DCF model with Stmt. Of Cashflow considerations are necessary for the model to be of any use/investment value. I hope to address these pitfalls and improve accuracy </t>
    </r>
  </si>
  <si>
    <t xml:space="preserve">Individual regulatory bodies for each country's healthcare system makes scaling for The Company more difficult than say a software company </t>
  </si>
  <si>
    <t>Salesforce serves for outreach and education efforts … They understand the products intimately and are on the front lines when communicating with practicing medical professionals</t>
  </si>
  <si>
    <t xml:space="preserve">Management has a demonstrated track record of allocating capital towards strategic, high-IRR projects that fit into cementing Penumbra as a dominant, globally operating Med-Tech player (I am personally really excited for the Costa Rica site investment).  </t>
  </si>
  <si>
    <t>Differentiate peripheral v. neuro … is one franchise driving growth for the segment?</t>
  </si>
  <si>
    <t>Penumbra comleted enrollement for the study on Oct. 14th 2024</t>
  </si>
  <si>
    <t>https://clinicaltrials.gov/study/NCT05437055</t>
  </si>
  <si>
    <t>Could be in The Company's strategic interests to expand international sales presence as a DXY currency hedge</t>
  </si>
  <si>
    <t>Look into product sales cycles … how do sales reps market the device?</t>
  </si>
  <si>
    <t>PubMed:</t>
  </si>
  <si>
    <t>FDA Clinical Trails:</t>
  </si>
  <si>
    <t>https://clinicaltrials.gov/</t>
  </si>
  <si>
    <t>https://clinicaltrials.gov/search?intr=Thrombectomy</t>
  </si>
  <si>
    <t>NIH clinical trial tracker</t>
  </si>
  <si>
    <t>Thrombectomy Focus</t>
  </si>
  <si>
    <t>THUNDER Study</t>
  </si>
  <si>
    <t xml:space="preserve">3rd Party Trial Tracker </t>
  </si>
  <si>
    <t>Managers announced in 2023 that the firm would be shifting towards earnings … That projection has held true, and a literal cash geyser will be erupting in the next 2 years</t>
  </si>
  <si>
    <t xml:space="preserve">Dollar volatility has turned into dollar weakness since current administration has taken office … </t>
  </si>
  <si>
    <t>Costa Rica facility as a cost of imports hedge works very well from a corporate strategy perspective</t>
  </si>
  <si>
    <t xml:space="preserve">Stryker managers are intelligent and didn't pay a 60% premium above the market's current trading price on Inari for no reason… </t>
  </si>
  <si>
    <t xml:space="preserve">If NARI was a traditional enterprise, say a bottling plant, and SYK managers acquired it for a 60% premium above its current valuation, other participants would laugh and call them dumb... This means that NARI (and potentially MedTech companies in general) are valued by the market for more than just the net present value of cash flows... or makes positive assumptions about those future returns </t>
  </si>
  <si>
    <t>Clinical Trail.Gov</t>
  </si>
  <si>
    <t>https://fdaaa.trialstracker.net/</t>
  </si>
  <si>
    <t>FDAAA Trail Tracker</t>
  </si>
  <si>
    <t xml:space="preserve">MedTech as a sector is R&amp;D intensive; financing through equity issuance may align better with MEd-Tech's long-term IP development timelines… </t>
  </si>
  <si>
    <t>The Company's managers did raise capital through a second equity offering in 2020, which fits the thesis (equity issuance diluting current shareholders, but no interest or senior bond holders meaning managers have greater flexibility and no "debt bombs" to worry about as the firm establishes itself)</t>
  </si>
  <si>
    <t xml:space="preserve">Management has continued to seize opportunities to strengthen The Company's financial standing through intelligent capital investment initiatives into the core business… </t>
  </si>
  <si>
    <t>Commercially successful and expanding portfolio (strong niche in the mechanical thrombectomy market)</t>
  </si>
  <si>
    <t>$100m Strategic Share Repurchase through ASR when shares were really beaten down (Aug. 2024)</t>
  </si>
  <si>
    <t>10x in Ttl. revenues in 10 years … super impressive</t>
  </si>
  <si>
    <t xml:space="preserve">It's necessary to learn more about Med-Tech products and the medical conditions they're trying to address if I am going to be able to add/analyze this industry beyond modeling the financials … that is what separates a mid-wit analyst from a great analyst ... </t>
  </si>
  <si>
    <t>Steady investment into R&amp;D for developing technologies/creating new innovative products to stay ahead of competitors</t>
  </si>
  <si>
    <t>Costa Rica site expansion for cost arbitrage/comparative advantages … potential tax strategy??? (announced year-end 2024)</t>
  </si>
  <si>
    <t xml:space="preserve">Expands into international manufacturing of lower margin goods </t>
  </si>
  <si>
    <t>Investment into international distribution ... The Company has infrastructure/channels layed out to continue expanding as a globally operating MNC</t>
  </si>
  <si>
    <t xml:space="preserve">Cash Ratio on the balance sheet is increasing --&gt;The Company has been steadily exiting ST marketable investments, and moving those funds into Cash accounts … why? </t>
  </si>
  <si>
    <r>
      <t xml:space="preserve">Money markets aren't paying more than T-Bills/Notes or Corporate Debt ... </t>
    </r>
    <r>
      <rPr>
        <b/>
        <sz val="11"/>
        <color theme="1"/>
        <rFont val="Calibre"/>
      </rPr>
      <t>Is Penumbra gearing up for some serious capital investment?</t>
    </r>
  </si>
  <si>
    <t>Stated Primary Endpoint:</t>
  </si>
  <si>
    <t>Immediate post-procedure revascularization of the occluded vessel</t>
  </si>
  <si>
    <t>Look out for SAVA plays … Penumbra is obviously more diversified in it's business, and staffed by a higher grade of managers… but even large companies and their valuations can be affected by binary trade opportunities such as an undesirable trail result being announced on a required date</t>
  </si>
  <si>
    <r>
      <t>Elsesser Stated: "</t>
    </r>
    <r>
      <rPr>
        <b/>
        <sz val="11"/>
        <color theme="1"/>
        <rFont val="Calibre"/>
      </rPr>
      <t>Regarding our THUNDER trial, in the first quarter of 2025, we submitted the clinical data to the FDA for review</t>
    </r>
    <r>
      <rPr>
        <sz val="11"/>
        <color theme="1"/>
        <rFont val="Calibre"/>
      </rPr>
      <t>. We will provide additional future updates as appropriate and remain excited to introduce CAVT to the neurovascular field"</t>
    </r>
  </si>
  <si>
    <r>
      <rPr>
        <b/>
        <sz val="11"/>
        <color theme="1"/>
        <rFont val="Calibre"/>
      </rPr>
      <t>FDAAA tracker says</t>
    </r>
    <r>
      <rPr>
        <sz val="11"/>
        <color theme="1"/>
        <rFont val="Calibre"/>
      </rPr>
      <t xml:space="preserve"> the trail is </t>
    </r>
    <r>
      <rPr>
        <b/>
        <sz val="11"/>
        <color theme="1"/>
        <rFont val="Calibre"/>
      </rPr>
      <t>ongoing</t>
    </r>
    <r>
      <rPr>
        <sz val="11"/>
        <color theme="1"/>
        <rFont val="Calibre"/>
      </rPr>
      <t xml:space="preserve">, </t>
    </r>
    <r>
      <rPr>
        <b/>
        <sz val="11"/>
        <color theme="1"/>
        <rFont val="Calibre"/>
      </rPr>
      <t>but</t>
    </r>
    <r>
      <rPr>
        <sz val="11"/>
        <color theme="1"/>
        <rFont val="Calibre"/>
      </rPr>
      <t xml:space="preserve"> </t>
    </r>
    <r>
      <rPr>
        <b/>
        <sz val="11"/>
        <color theme="1"/>
        <rFont val="Calibre"/>
      </rPr>
      <t>clinicaltrail.gov says</t>
    </r>
    <r>
      <rPr>
        <sz val="11"/>
        <color theme="1"/>
        <rFont val="Calibre"/>
      </rPr>
      <t xml:space="preserve"> that the study has seen it's last patient and it has </t>
    </r>
    <r>
      <rPr>
        <b/>
        <sz val="11"/>
        <color theme="1"/>
        <rFont val="Calibre"/>
      </rPr>
      <t>concluded</t>
    </r>
    <r>
      <rPr>
        <sz val="11"/>
        <color theme="1"/>
        <rFont val="Calibre"/>
      </rPr>
      <t>… not sure how to make odds with this … I believe endpoint data is being reviewed by regulators before they give an opinion/approval...</t>
    </r>
  </si>
  <si>
    <t>Elsesser responded:</t>
  </si>
  <si>
    <t>(ii)</t>
  </si>
  <si>
    <t>"Physician will be looking at traditional benchmarks, including: Primary/secondary endpoints, first-pass effect, and procedure time … Additionally they may consider a new differentiator: Time to clot removal after device engagement (showcasing CAV tech’s speed vs. existing catheters) which we hope will drive physician adoption"</t>
  </si>
  <si>
    <t xml:space="preserve">Thrombectomy segment is driving outsized growth for The Company (20-21% FY'25E) </t>
  </si>
  <si>
    <t>https://www.sec.gov/Archives/edgar/data</t>
  </si>
  <si>
    <t>Follow-up commentary on competitors products from Q1 Earnings Call:</t>
  </si>
  <si>
    <t>&lt;- Offers both mechanical thrombectomy and embolization devices (JETi Peripheral Thrombectomy System + Amplatzer™ Vascular Plug Family)</t>
  </si>
  <si>
    <t>&lt;- Offers the Pronto Extraction Catheter, a manual aspiration device designed for removing fresh, soft emboli and thrombi from coronary and peripheral vessels</t>
  </si>
  <si>
    <t>&lt;- Offers a comprehensive thrombectomy product portfolio focused on mechanical aspiration for the removal of blood clots from the venous system (Primary thrombectomy offering: AlphaVac System + AngioVac System)</t>
  </si>
  <si>
    <t xml:space="preserve">&lt;- Offers a robust portfolio in both thrombectomy and embolization for vascular and interventional procedures (AngioJet™ Thrombectomy System, Fetch™2 Aspiration Catheter, EKOS™ Endovascular System + Embold™ Embolization Coils, TheraSphere™, Interventional Oncology Portfolio) </t>
  </si>
  <si>
    <t xml:space="preserve">&lt;- Offers a comprehensive suite of thrombectomy catheters under its Fogarty® brand (Fogarty Arterial Embolectomy Catheters, Fogarty Venous Thrombectomy Catheters, Fogarty Thru-Lumen Embolectomy Catheters, Fogarty Corkscrew Catheters, Fogarty Graft Thrombectomy Catheters)
</t>
  </si>
  <si>
    <t>&lt;- Offers a comprehensive portfolio focused on neurovascular thrombectomy and embolization for stroke and aneurysm treatment (Thrombectomy Scope: EMBOTRAP® III Revascularization Device, CEREGLIDE™ Catheter Family, CEREBASE™ DA Guide Sheath, CERENOVUS NIMBUS™ Geometric Clot Extractor + Embolization: CEREPAK™ Detachable Coil System, CEREPAK™ Detachable Coil System)</t>
  </si>
  <si>
    <t>&lt;- Offers a robust portfolio of thrombectomy and embolectomy products under the TufTex® and Syntel® brands, with a focus on both arterial and venous clot management (TufTex® Embolectomy Catheter, Syntel® Silicone Embolectomy/Thrombectomy Catheter, Python Over-the-Wire Embolectomy Catheter, Latis Graft Cleaning Catheter)</t>
  </si>
  <si>
    <t>&lt;- Offers a comprehensive portfolio in neurovascular thrombectomy, with a strong focus on acute ischemic stroke treatment (Trevo NXT ProVue Stent Retriever, AXS Universal Aspiration System, FlowGate2 Balloon Guide Catheter, Excelsior XT-27 Microcatheter / Trevo Trak 21 Microcatheter, etc)</t>
  </si>
  <si>
    <t>&lt;- Offers a comprehensive portfolio of thrombectomy and embolization products, with a strong focus on neurovascular applications as well as peripheral interventions (Thrombectomy: Solitaire™ X Stent Retriever Device,  Riptide™ Aspiration System, Excipio Peripheral Thrombectomy System)</t>
  </si>
  <si>
    <t>Elsesser commented: "Yes. Well, so the big thing that we've talked about obviously is Thunderbolt isn't in the guidance until we get approved, and we'll obviously add it. We've said that before. Thunderbolt's the product that probably has the most obvious price for us"</t>
  </si>
  <si>
    <t xml:space="preserve"> I imagine the market is working to price THUNDER commercialization into the equity's price … but my model is in line with company guidance and has an appealing NPV value as is</t>
  </si>
  <si>
    <t>Strong relations with Doctors, researchers, teaching hospitals etc. … this is hard to value quantifiably but is what separates unicorns from the heard in a competitive med-tech space</t>
  </si>
  <si>
    <t>"Thunderbolt was submitted as a 510(k) with clinical data, which is what they're currently looking at" ... No surprises so far, but Elsesser avoids timeline predictions due to past regulatory unpredictability (memories of Jet7 2019-2020??? or just a generally good precaution to take towards forward projections while dealing with regulatory body approval)</t>
  </si>
  <si>
    <t>Terrific products will win, but continued investment into education/outreach to demonstrate efficacy that trumps both status quo pharmaceuticals (e.g. blood thinners, which is cheap and available everywhere … but with lower patient outcome quality), and other mechanical thrombectomy offerings (which are inferior) will be necessary for LT success</t>
  </si>
  <si>
    <t xml:space="preserve">If trial results were positive … wouldn’t managers immediately come out and make the announcement -&gt; commercializing Thunderbolt neuro CAVT immediately? </t>
  </si>
  <si>
    <t>(Cecilia Furlong)</t>
  </si>
  <si>
    <t>Elsesser Stated: I'd like to address the question of proposed or enacted tariffs and the current macro backdrop. We currently manufacture 100% of our products in the United States and are manufacturing facilities in Alameda and Roseville, California. In addition, approximately three-quarters of our raw materials and components are currently sourced in the United States. We're also engaged in a regular, ongoing process of optimizing our supply chain which includes, among other things, the strategic onshoring of certain materials that are not currently sourced in the United States</t>
  </si>
  <si>
    <t>Med-Tech had been punished and left behind in the '24 tech-fueled bull market, as with most other healthcare operators… in the new risk off environment, analysts and the market are looking for safer cash flows… now to determine if these cash flows are overvalued…</t>
  </si>
  <si>
    <t>Inventories, and inventory FV adjustments will also be important figures to track. Management must be incredibly diligent with revenue/profit maximization models for their current portfolio, and continue to develop a pipeline of new/innovative products to remain economically competitive</t>
  </si>
  <si>
    <r>
      <t xml:space="preserve">!Important! </t>
    </r>
    <r>
      <rPr>
        <b/>
        <sz val="11"/>
        <color theme="1"/>
        <rFont val="Calibre"/>
      </rPr>
      <t>China revenues were entirely excluded from 2025</t>
    </r>
    <r>
      <rPr>
        <sz val="11"/>
        <color theme="1"/>
        <rFont val="Calibre"/>
      </rPr>
      <t xml:space="preserve"> revenue estimates as the business is seemingly rolling over? How is the Chinese operation arranged? Normally a Joint-Partnership with a local manufacturing partner …</t>
    </r>
  </si>
  <si>
    <t xml:space="preserve">Is this margin expansion and projected earnings growth already priced in to the common stock? </t>
  </si>
  <si>
    <t>The Company received FDA clearance for Ruby XL, a new larger size diagnostic catheter compatible peripheral coil. Ruby XL will further augment The Company's existing peripheral embolization portfolio, expanding its market leadership into larger vessel anatomies</t>
  </si>
  <si>
    <t>Focus up on laggard international growth. I remember announcements of slight pullbacks in EU operations during my 2023 internship, and the Chinese economy has been struggling out of the COVID era (already a questionable business segment though with the licensing deal... commit to further research)</t>
  </si>
  <si>
    <t>FDA clearance of Ruby XL came earlier than The Company expected, so they have commenced an expedited inventory bill to support a market launch in either late Q2 or early Q3, in order to quickly meet the high interest in the product we have seen from physicians to-date</t>
  </si>
  <si>
    <t>Follow-up commentary on Sales Force from Q1 Earnings Call:</t>
  </si>
  <si>
    <t>Follow up:</t>
  </si>
  <si>
    <t>PENs sales model almost serves as a consultative on-ramp for health care providers … Old model (such as SYK's strategy) is focused a bit more on distribution networks and bundling contracts (has a hybrid model with direct sales people as well)</t>
  </si>
  <si>
    <t xml:space="preserve">I remember there was a decent hiring growth during '23 and '24, especially in the sales teams… follow human capital trends </t>
  </si>
  <si>
    <t>Penumbra is a significant manufacturer in the Bay Area, only behind TSLA's Fremont Gigaplant</t>
  </si>
  <si>
    <t xml:space="preserve">Both Stryker and Intuitive are incredibly successful companies (&gt;$150B)  but there are qualitative differences </t>
  </si>
  <si>
    <t xml:space="preserve">The Firm has a significant portion of its inventory lock in consignment agreements at any given time </t>
  </si>
  <si>
    <t>Keeping SKU numbers low will allow for a more efficient direct sales force, and less inventory stuck in a Sales carrying kit</t>
  </si>
  <si>
    <t>In addition, approximately three-quarters of The Company's raw materials and components are currently sourced in the United States</t>
  </si>
  <si>
    <t>From a very high level The Company's business shares tangential characteristics with Pharma and Semiconductor business economics</t>
  </si>
  <si>
    <r>
      <rPr>
        <b/>
        <sz val="11"/>
        <color theme="1"/>
        <rFont val="Calibre"/>
      </rPr>
      <t>Inventories currently represent 26% of Ttl. assets</t>
    </r>
    <r>
      <rPr>
        <sz val="11"/>
        <color theme="1"/>
        <rFont val="Calibre"/>
      </rPr>
      <t xml:space="preserve">. </t>
    </r>
    <r>
      <rPr>
        <b/>
        <sz val="11"/>
        <color theme="1"/>
        <rFont val="Calibre"/>
      </rPr>
      <t>This balance spooked me a bit with a knee-jerk initial concern</t>
    </r>
    <r>
      <rPr>
        <sz val="11"/>
        <color theme="1"/>
        <rFont val="Calibre"/>
      </rPr>
      <t xml:space="preserve">, as I am not used to seeing firms with so much of their balance sheet/working capital tied up in inventory assets… </t>
    </r>
  </si>
  <si>
    <r>
      <rPr>
        <b/>
        <sz val="11"/>
        <color theme="1"/>
        <rFont val="Calibre"/>
      </rPr>
      <t>The Company's Thrombectomy growth well outperforms total market growth, indicating that they are taking market share in a growing pie</t>
    </r>
    <r>
      <rPr>
        <sz val="11"/>
        <color theme="1"/>
        <rFont val="Calibre"/>
      </rPr>
      <t xml:space="preserve"> … SYK's managers see </t>
    </r>
    <r>
      <rPr>
        <b/>
        <sz val="11"/>
        <color theme="1"/>
        <rFont val="Calibre"/>
      </rPr>
      <t xml:space="preserve">thrombectomy </t>
    </r>
    <r>
      <rPr>
        <sz val="11"/>
        <color theme="1"/>
        <rFont val="Calibre"/>
      </rPr>
      <t xml:space="preserve">as a </t>
    </r>
    <r>
      <rPr>
        <b/>
        <sz val="11"/>
        <color theme="1"/>
        <rFont val="Calibre"/>
      </rPr>
      <t xml:space="preserve">$15b global market </t>
    </r>
    <r>
      <rPr>
        <sz val="11"/>
        <color theme="1"/>
        <rFont val="Calibre"/>
      </rPr>
      <t>(Yeah yeah I know the guy's just talking his book, but I'm still bullish on mechanical thrombectomy as an industry)</t>
    </r>
  </si>
  <si>
    <t>Look into competitors and their product pipelines/upcoming product launches… do any of the firms offering's have any competitive overlap with Penumbra's offerings? (Thrombectomy being the most efficient segment ATM)</t>
  </si>
  <si>
    <t>The Company is also engaged in a regular, ongoing process of optimizing its supply chain which includes, among other things, the strategic onshoring of certain materials that are not currently sourced in the United States</t>
  </si>
  <si>
    <t>With a cash geyser beginning to erupt from the core business (driven by thrombectomy), management's ability to pivot away from defensive (ASR program and core product investment) to offensive (potential M&amp;A/R&amp;D expansion) strategies will be their next big test</t>
  </si>
  <si>
    <t>I believe there are still levers management can pull to surprise to the upside … (surprise is the element that revaluates companies … and through principals of reflexivity, I think PEN is in position to surprise equity holders to the upside in the future</t>
  </si>
  <si>
    <t>Probably less efficient than just doing analysis on existing players in markets of interest and acquiring the best of the bunch</t>
  </si>
  <si>
    <t>Penumbra is uniquely positioned, and almost benefits from the currently proposed tariff regime when compared to competing firms/peers and their positioning (competitors seemingly have much greater sensitivities to shifts in trade policy and the global business environment)</t>
  </si>
  <si>
    <t xml:space="preserve">Ok  ok ... so The Company is just waiting on final 510(k) approval … </t>
  </si>
  <si>
    <t>Signal from management to avoid the wary gaze of an evil eye? Is their management team engaged in any government partnerships to improve reshoring efforts, or is it purely in The Company's interests/efforts?</t>
  </si>
  <si>
    <t>https://www.penumbrainc.com/products/?pages=1</t>
  </si>
  <si>
    <t>Element</t>
  </si>
  <si>
    <t>Q/q Total Revenues, Net Income, FCF</t>
  </si>
  <si>
    <t>Costa Rica remains unaffected by specially levied tariffs beyond the baseline 10-20% … it will be important to track capital investment going into the Costa Rica site, and learn more about the proposed operations</t>
  </si>
  <si>
    <t>The offering closed on September 23, 2015, subject to customary closing conditions</t>
  </si>
  <si>
    <t>PEN's CAVT technology is the future … it's now about FDA clearance, educating physicians through clinical data, and the commercial rollout of these new products … This technology will reap economic profits</t>
  </si>
  <si>
    <t xml:space="preserve">Managers reiterated that The Company will continue to invest in its Embolization &amp; Access business … </t>
  </si>
  <si>
    <t xml:space="preserve">Hopefully we're only providing commodity product IP ... don't have much respect for IP law and definitely will undercut us with price on the global market if allowed (think Siemens with their rail technology + countless examples) </t>
  </si>
  <si>
    <r>
      <rPr>
        <b/>
        <sz val="11"/>
        <color theme="1"/>
        <rFont val="Calibre"/>
      </rPr>
      <t>Incredible margins … like software business comparable …</t>
    </r>
    <r>
      <rPr>
        <sz val="11"/>
        <color theme="1"/>
        <rFont val="Calibre"/>
      </rPr>
      <t xml:space="preserve"> I'd like to understand the operating efficiency of Med-Tech further … how do they do it?</t>
    </r>
  </si>
  <si>
    <r>
      <rPr>
        <b/>
        <sz val="11"/>
        <color theme="1"/>
        <rFont val="Calibre"/>
      </rPr>
      <t>Management projects margins to expand to over 70% by YE26</t>
    </r>
    <r>
      <rPr>
        <sz val="11"/>
        <color theme="1"/>
        <rFont val="Calibre"/>
      </rPr>
      <t xml:space="preserve"> (They have multiple levers available to pull in order to achieve this margin incl. price increases, VTE product mix growth (more profitable segment than aneurysm coiling), etc.) … I believe managers will achieve this margin </t>
    </r>
  </si>
  <si>
    <t>Follow-up commentary on Tariffs from Q1 Earnings Call:</t>
  </si>
  <si>
    <r>
      <t xml:space="preserve">Revenues/revenue growth remain strong, but </t>
    </r>
    <r>
      <rPr>
        <b/>
        <sz val="11"/>
        <color theme="1"/>
        <rFont val="Calibre"/>
      </rPr>
      <t xml:space="preserve">the bigger opportunity going forward lies in capital deployment as cash really starts to roll in -- whether through M&amp;A, R&amp;D into new markets, or cash return programs for shareholders through buybacks or dividends </t>
    </r>
    <r>
      <rPr>
        <sz val="11"/>
        <color theme="1"/>
        <rFont val="Calibre"/>
      </rPr>
      <t>(creating a designated share repurchase program beyond the occasional lump sum allocation as seen in Aug '24 with the strategic ASR)</t>
    </r>
  </si>
  <si>
    <t>Going forward, it will be important to consider and distinguish between growth CapEx (e.g. expansion into the Costa Rica facility) and maintenance CapEx … Will be critical for estimating the firm's true FCF generation capabilities</t>
  </si>
  <si>
    <t>Currently, the model provides a rough estimate into the equity's value, as LT Net Income and FCF figures tend to converge (as cash flows mature and reinvestment beyond maintenance is not required, resulting in CapEx = D&amp;A) but a DCF from cash flows would still be optimal</t>
  </si>
  <si>
    <t>Angiodynamic Inc has a $400M price tag … Lemaitre Vascular Inc has a $2B price tag … plenty of related assets in the private markets… or is The Company looking to branch into another high growth market ... are their other products/businesses that have potential "synergy" within The Business if acquired?</t>
  </si>
  <si>
    <t>Elsesser Stated: I can tell you that that we were pretty confident that we are taking significant share not because of the merger, but rather because to be honest and not sort of snotty about it, we just have the better product. And as more and more people talk about it, that word of mouth spreads from doctor to doctor. We're seeing people come on board.</t>
  </si>
  <si>
    <t>Investment into sales force … Sales headcount expanded through 2023/2024 +  strong internal training initiatives for the teams has developed a grade A sales force</t>
  </si>
  <si>
    <t>Cool tid-bit I learned … The Company's Embolization coils use Platinum due to the metal's biocompatibility and high radiopacity (making the tool easier to track under microscope)</t>
  </si>
  <si>
    <t>Scrap is the given to a partnered smelting firm, who recycles the material and feed it back to us to be used again … pretty cool</t>
  </si>
  <si>
    <t>Continuous Aspiration Mechanical Thrombectomy Catheters are robust, durable, trackable and suited for the peripheral and coronary anatomy. We have introduced multiple sizes of catheters for use in both the peripheral and coronary vasculature. CAT Catheters are available in a wide range of sizes and lengths to address a wide range of vessel sizes and clot locations</t>
  </si>
  <si>
    <t>Computer Assisted Vacuum Thrombectomy (CAVT) Technology combines our CAT Catheters with microprocessor-controlled software algorithms that orchestrate the interaction of our pump and catheters, enabling physicians to focus on optimizing thrombus removal while helping to mitigate blood loss for arterial and venous applications including the treatment of pulmonary embolism</t>
  </si>
  <si>
    <t>Indigo Separators are advanced and retracted through the aspiration catheter at the proximal margin of the primary occlusion to facilitate clearing of the thrombus from the catheter tip. In the peripheral vasculature, clots often form in long segments and are more resistant to traditional aspiration techniques. The Indigo System with the Separator enables a practitioner to remove a wide range of clot morphology from both peripheral and coronary vasculature</t>
  </si>
  <si>
    <t>Penumbra ENGINE or Penumbra Pump MAX is connected to our CAT catheters and CAVT technology, where applicable, and provides the needed aspiration suction force</t>
  </si>
  <si>
    <t>The Company developed its proprietary aspiration source as a fully-integrated system specifically for mechanical thrombectomy by vacuum aspiration</t>
  </si>
  <si>
    <t>Penumbra System brand of products offers a form of mechanical thrombectomy used by specialist physicians to revascularize blood vessels that are blocked by clots in the intracranial vasculature</t>
  </si>
  <si>
    <t>These products are aspiration-based. The Penumbra System is a fully integrated mechanical thrombectomy system consisting of reperfusion catheters and separators, the 3D Revascularization Device, aspiration tubing, and aspiration pump</t>
  </si>
  <si>
    <t>Penumbra System Reperfusion Catheters are the cornerstone of the Penumbra System and are manufactured using a variety of proprietary processes and materials science innovations for use in revascularization of patients with acute ischemic stroke</t>
  </si>
  <si>
    <t>It was incredible to see the manufacturing process during the tour … such a manual process … It'll be interesting to track margin as commodity product production is moved to Costa Rica while high value IP/Products are retained in The States</t>
  </si>
  <si>
    <t>The Penumbra System Reperfusion Catheters, powered by Penumbra ENGINE or Penumbra Pump MAX, are designed for trackability and to maximize thrombus removal force</t>
  </si>
  <si>
    <t>The Company believes believe these design features contribute to improved clinical outcomes and reduced procedure times (a selling point to doctors and patients alike)</t>
  </si>
  <si>
    <t>Penumbra System Reperfusion Catheters include the Penumbra RED, JET, ACE, BMX, and MAX families of catheters, designed to address a broad range of occlusions</t>
  </si>
  <si>
    <t>In 2021, The Company launched the RED family of catheters, which are designed with the latest innovations in tracking and aspiration technology to navigate complex distal vessel anatomy and deliver powerful aspiration, together with Penumbra ENGINE, for the removal of blood clots in acute ischemic stroke patients with large vessel occlusions</t>
  </si>
  <si>
    <t>The Company developed its proprietary aspiration source as a fully-integrated system specifically for mechanical thrombectomy by aspiration</t>
  </si>
  <si>
    <t>Penumbra Engine:</t>
  </si>
  <si>
    <t>The Indigo System aspiration catheters are available in a range of lengths and diameters that, when connected to the Penumbra ENGINE pump, can atraumatically remove the thrombus present in various peripheral vascular beds</t>
  </si>
  <si>
    <t>The catheters (CAT3, CAT RX*, CAT5, CAT6, CAT8, CATD) vary in diameters from 3.4 to 8 F and lengths of 50 to 150 cm to enable the operator to remove thrombus from small vessels, such as the pedal arch, to large vessels, such as the inferior vena cava</t>
  </si>
  <si>
    <t>Penumbra’s first rapid exchange catheter designed to remove fresh, soft emboli and thrombi from vessels of the coronary and peripheral vasculature</t>
  </si>
  <si>
    <t>https://www.penumbrainc.com/penumbra-inc-announces-completion-of-enrollment-for-landmark-storm-pe-randomized-controlled-trial/</t>
  </si>
  <si>
    <t>Penumbra, Inc. Announces Completion of Enrollment for Landmark STORM-PE Randomized Controlled Trial (June 16, 2025)</t>
  </si>
  <si>
    <t>STORM-PE is a first-of-its-kind clinical trial comparing computer assisted vacuum thrombectomy (CAVT™) using Penumbra’s Lightning Flash™ with anticoagulation versus anticoagulation alone in the treatment of acute intermediate-high risk pulmonary embolism</t>
  </si>
  <si>
    <t>Penumbra announced the completion of enrollment in the STORM-PE clinical trial</t>
  </si>
  <si>
    <t>The pivotal, prospective, multi-center randomized controlled trial enrolled 100 patients to evaluate computer assisted vacuum thrombectomy (CAVT) using Penumbra’s Lightning Flash™ plus anticoagulation, versus anticoagulation alone, for the treatment of acute intermediate-high risk pulmonary embolism (PE)</t>
  </si>
  <si>
    <t>“The trial successfully randomized patients well ahead of schedule thanks to the dedication of our clinical partners and the tireless efforts of our internal teams”</t>
  </si>
  <si>
    <t>Conducted in partnership with The PERT Consortium®, a multi-disciplinary group dedicated to improving the care of patients with PE, the trial aims to provide high-quality evidence on the role of CAVT in improving right heart function and clinical outcomes in this critically ill patient population</t>
  </si>
  <si>
    <t>“Pulmonary embolism remains a leading cause of cardiovascular morbidity and mortality, yet treatment strategies for intermediate-high risk patients are not well defined.” said Rachel Rosovsky, MD, MPH, co-global principal investigator of STORM-PE and hematologist at the Massachusetts General Hospital</t>
  </si>
  <si>
    <t>“The results of this trial will provide level 1 clinical evidence aimed at informing treatment guidelines and patient care”</t>
  </si>
  <si>
    <t>In the U.S., an estimated 900,000 cases of symptomatic PE occur annually.[i] Pulmonary embolism can be life-threatening with 10-30 percent of individuals dying within one month of diagnosis</t>
  </si>
  <si>
    <t>“We are pleased to announce that STORM-PE has successfully completed enrollment,” said Robert Lookstein, MD, MHCDL co-global principal investigator and professor of radiology and surgery at the Icahn School of Medicine at Mount Sinai</t>
  </si>
  <si>
    <t>“We congratulate all the sites and the investigators for their dedication and commitment to answering the critical clinical question of whether endovascular therapy with CAVT is superior to medical therapy for acute intermediate-high risk pulmonary embolism”</t>
  </si>
  <si>
    <t>Penumbra’s Lightning Flash portfolio is the most advanced mechanical thrombectomy system on the market to address venous and pulmonary thrombus</t>
  </si>
  <si>
    <t>It features Penumbra’s Lightning CAVT technology with the latest dual clot detection algorithms, using both pressure and flow-based processes to detect blood clot and blood flow</t>
  </si>
  <si>
    <t>The Lightning Flash catheter is made with MaxID hypotube technology, allowing an inner diameter similar to large-bore catheters while maintaining a lower profile and a soft, atraumatic tip design</t>
  </si>
  <si>
    <t>They are designed to help remove blood clots with speed, safety and simplicity, allowing physicians to better navigate the body’s complex anatomy and deliver high power aspiration for clot removal</t>
  </si>
  <si>
    <r>
      <t xml:space="preserve">Instead of inorganic growth through acquisitions … </t>
    </r>
    <r>
      <rPr>
        <b/>
        <sz val="11"/>
        <color theme="1"/>
        <rFont val="Calibre"/>
      </rPr>
      <t>could the firm look to develop a new product internally through some R&amp;D super cycle? Is internal development capacity already saturated?</t>
    </r>
  </si>
  <si>
    <t>Ttl revenue growth remains healthy (12-14% FY'25E) due to durable thrombectomy segment growth. Embolization reporting's beyond the Ruby XL development are relatively uninteresting</t>
  </si>
  <si>
    <t>Cecelia Furlong has since taken on the role of Investor Relations Officer, assisting during earnings calls and general investor relations activities</t>
  </si>
  <si>
    <r>
      <t xml:space="preserve">The Company </t>
    </r>
    <r>
      <rPr>
        <b/>
        <sz val="11"/>
        <color theme="1"/>
        <rFont val="Calibre"/>
      </rPr>
      <t>designs, develops, manufactures,</t>
    </r>
    <r>
      <rPr>
        <sz val="11"/>
        <color theme="1"/>
        <rFont val="Calibre"/>
      </rPr>
      <t xml:space="preserve"> and </t>
    </r>
    <r>
      <rPr>
        <b/>
        <sz val="11"/>
        <color theme="1"/>
        <rFont val="Calibre"/>
      </rPr>
      <t>markets medical devices</t>
    </r>
    <r>
      <rPr>
        <sz val="11"/>
        <color theme="1"/>
        <rFont val="Calibre"/>
      </rPr>
      <t xml:space="preserve"> in the </t>
    </r>
    <r>
      <rPr>
        <b/>
        <sz val="11"/>
        <color theme="1"/>
        <rFont val="Calibre"/>
      </rPr>
      <t>United States and internationally</t>
    </r>
  </si>
  <si>
    <r>
      <t xml:space="preserve">The Company's broad portfolio, which includes </t>
    </r>
    <r>
      <rPr>
        <b/>
        <sz val="11"/>
        <color theme="1"/>
        <rFont val="Calibre"/>
      </rPr>
      <t>computer assisted vacuum thrombectomy (CAVT)</t>
    </r>
    <r>
      <rPr>
        <sz val="11"/>
        <color theme="1"/>
        <rFont val="Calibre"/>
      </rPr>
      <t>, centers on removing blood clots from head-to-toe with speed, safety and simplicity</t>
    </r>
  </si>
  <si>
    <t>Company managers state their belief that the cost-effectiveness of The Company's products are attractive to customers</t>
  </si>
  <si>
    <t>Penumbra, the world’s leading thrombectomy company, is focused on developing the most innovative technologies for challenging medical conditions in the thrombectomy and embolization space</t>
  </si>
  <si>
    <t>Indigo System is a minimally invasive, computer-assisted aspiration thrombectomy (CAVT) device designed to quickly remove thrombi (blood clots) from peripheral arteries, veins, and, more recently, pulmonary arteries (FDA granted 510(k) clearance for an expanded indication on January 10, 2020). The system uses intelligent aspiration technology, powered by the Penumbra ENGINE and features proprietary catheters (CAT family) and Separators to optimize clot removal while minimizing blood loss. The system provides real-time procedural feedback and is designed for single-session clot removal, improving workflow and outcomes for acute limb ischemia (ALI), deep vein thrombosis (DVT), and pulmonary embolism (PE)</t>
  </si>
  <si>
    <t>CAVT serves as a huge technological development in comparison to previous status quo treatments (tissue plasminogen activator (tPA), standard blood thinners, or competing thrombectomy devices)</t>
  </si>
  <si>
    <t>Indigo Seperators are paired with the CAT family of aspiration catheters … The Separators are advanced and retracted through the aspiration catheter at the proximal margin of the primary occlusion to facilitate clearing of the thrombus from the catheter tip</t>
  </si>
  <si>
    <t>In the peripheral vasculature, clots often form in long segments and are more resistant to traditional aspiration techniques</t>
  </si>
  <si>
    <t>The Indigo System with the Separator enables a practitioner to remove a wide range of clot morphology from both peripheral and coronary vasculature</t>
  </si>
  <si>
    <t>Continuous Aspiration Mechanical Thrombectomy Catheters are robust, durable, trackable and suited for the peripheral and coronary anatomy</t>
  </si>
  <si>
    <t>CAT Catheters are available in a wide range of sizes and lengths to address a wide range of vessel sizes and clot locations</t>
  </si>
  <si>
    <t>The innovation in mechanical power aspiration with the Indigo System has helped The Company move the field forward toward single-session removal of thrombus</t>
  </si>
  <si>
    <t>In 2023, The Company launched Lightning Flash, an advanced mechanical thrombectomy system to address venous and pulmonary thrombus using CAVT technology, and Lightning Bolt 7, an advanced arterial thrombectomy system that uses CAVT technology, including modulated aspiration, to address conditions such as ALI, hibernating thrombus and visceral occlusions</t>
  </si>
  <si>
    <t>In 2024, The Company launched Lightning Flash 2.0, its next generation technology featuring advanced Lightning Flash algorithms, designed for increased efficiency and sensitivity to thrombus and blood flow</t>
  </si>
  <si>
    <t>The Company's Penumbra System® is a fully integrated system designed specifically for mechanical thrombectomy, first receiving 510(k) clearance by the FDA in December 2007</t>
  </si>
  <si>
    <t>Platinum is a key input in coil business … Price of platinum has risen significantly</t>
  </si>
  <si>
    <t>Taiwanese (and other) imports have been hit with tariffs … could have a material impact on gross margin from Q1</t>
  </si>
  <si>
    <t>China is a larger portion of international revenues and the licensing deals were previously stable revenues … Inclusion of China revenue decay will have a material impact on aggregate international revenue growth … continue following closely</t>
  </si>
  <si>
    <t>Did the firm use to have a proportionally larger international presence … or has domestic revenue just grown substantially quicker than international in recent years? I believe I remember managers describing strategic pullbacks in some international markets during my 2023 internship</t>
  </si>
  <si>
    <t>Has never offered warrants, bonds or convertible notes</t>
  </si>
  <si>
    <t xml:space="preserve">!!! Q2'25 Earnings call + SEC reporting release July 29th … Managers still have $100m in the barrel for share repurchases … </t>
  </si>
  <si>
    <t>The program expires end of July, displaying a degree of foresight I am impressed with (can be thought of as "safety slack" or a price floor for the common stock price … although we don’t know what that imaginary floor price is)</t>
  </si>
  <si>
    <t>https://seekingalpha.com/symbol/PEN/earnings/transcripts</t>
  </si>
  <si>
    <t>In 2022, The Company initiated the THUNDER Study, which is an Investigational Device Exemption (“IDE”) study designed to evaluate the safety and effectiveness of CAVT technology for neurovascular applications and which completed enrollment in September 2024 (see breakout module for greater detail)</t>
  </si>
  <si>
    <t>Embo growth has picked up again in most recent quarter due to commercial release/success of Ruby XL catheter offering</t>
  </si>
  <si>
    <t>Headquarted: Alameda, CA</t>
  </si>
  <si>
    <t>Begin reading into medical journals (BIH, PubMed, Universities, etc.) + trade news (websites, magazines and other publications) to get a better sense of technologies available</t>
  </si>
  <si>
    <t>Embolus/i : a thrombus, or other substance that breaks free and circulates through blood vessels</t>
  </si>
  <si>
    <t>https://www.heart.org/en/</t>
  </si>
  <si>
    <t>American Heart Association</t>
  </si>
  <si>
    <t>EV Today Trade News</t>
  </si>
  <si>
    <t>(i)</t>
  </si>
  <si>
    <t>China ended up placing an order during Q2, with managers cutting a deal after some of the tariff volatility subsided … I still don’t know how to think of the relationship we have with our licensing deal with the foreign partnering firm</t>
  </si>
  <si>
    <t>(important to track/sum the total impairment cost in model) … (see additional comments in Notes tab)</t>
  </si>
  <si>
    <t>DataM Intelligence projects 5.8% CAGR as demand grows for minimally invasive clot removal amid rising stroke incidence and aging population</t>
  </si>
  <si>
    <t>Cecelia and Jason Mills front up the Corporate Strategy and IR team</t>
  </si>
  <si>
    <t>Ttl Liabilities</t>
  </si>
  <si>
    <t>Estimated Elligible Patient Population</t>
  </si>
  <si>
    <t>Cases per year (globally)</t>
  </si>
  <si>
    <t>1.2m</t>
  </si>
  <si>
    <t>~150k</t>
  </si>
  <si>
    <t>~500k</t>
  </si>
  <si>
    <t>4m</t>
  </si>
  <si>
    <t>2.5m</t>
  </si>
  <si>
    <t>A stroke occurs when a blood vessel that carries oxygen and nutrients to the brain is either blocked by a clot or bursts (ruptures) … Ischemic strokes represent approximately 87% of strokes, or approximately 800,000 patients annually, in the United States</t>
  </si>
  <si>
    <t>9.7m</t>
  </si>
  <si>
    <t>8.5m</t>
  </si>
  <si>
    <t>The Company sells interventional products directly to hospitals and through distributors for use in procedures performed by specialist physicians to treat patients in two reported segments: Thrombectomy and Embolization &amp; Access</t>
  </si>
  <si>
    <t>The Company sells products through purchase orders (POs), and does not have long term purchase commitments from customers</t>
  </si>
  <si>
    <t>STORM II Trial</t>
  </si>
  <si>
    <r>
      <rPr>
        <b/>
        <sz val="11"/>
        <color theme="1"/>
        <rFont val="Calibre"/>
      </rPr>
      <t>R&amp;D / innovation dependent -&gt; Winner takes most</t>
    </r>
    <r>
      <rPr>
        <sz val="11"/>
        <color theme="1"/>
        <rFont val="Calibre"/>
      </rPr>
      <t xml:space="preserve"> of the newly innovated market, with huge first mover advantages (companies left behind in the innovation cycle have minimal pricing power + increased demand for R&amp;D spend just to catch up ... reminds me of NVDA / Semis)</t>
    </r>
  </si>
  <si>
    <t>Straightforward high-tech manufacturing business with integrated sales channel through direct to end consumers (doctors/healthcare systems) sales team … Would be incredibly powerful if management could scheme up a method to secure reoccurring service revenues from customer base (I think that's what the Immersive business was supposed to be)</t>
  </si>
  <si>
    <t>Listen in to management commentary on launch of Ruby XL in next earnings call … If supply constrained, pay attention to yield rates and commentary on prod line … if the market continues to adopt, Ruby XL serves to expand and cement embolization position into the future</t>
  </si>
  <si>
    <t>SEC Filings</t>
  </si>
  <si>
    <r>
      <rPr>
        <b/>
        <sz val="11"/>
        <color theme="1"/>
        <rFont val="Calibre"/>
      </rPr>
      <t>Approximately 350,000 DVTs</t>
    </r>
    <r>
      <rPr>
        <sz val="11"/>
        <color theme="1"/>
        <rFont val="Calibre"/>
      </rPr>
      <t xml:space="preserve"> are </t>
    </r>
    <r>
      <rPr>
        <b/>
        <sz val="11"/>
        <color theme="1"/>
        <rFont val="Calibre"/>
      </rPr>
      <t>eligible for treatment</t>
    </r>
    <r>
      <rPr>
        <sz val="11"/>
        <color theme="1"/>
        <rFont val="Calibre"/>
      </rPr>
      <t xml:space="preserve"> </t>
    </r>
    <r>
      <rPr>
        <b/>
        <sz val="11"/>
        <color theme="1"/>
        <rFont val="Calibre"/>
      </rPr>
      <t>with mechanical</t>
    </r>
    <r>
      <rPr>
        <sz val="11"/>
        <color theme="1"/>
        <rFont val="Calibre"/>
      </rPr>
      <t xml:space="preserve"> or computer assisted vacuum </t>
    </r>
    <r>
      <rPr>
        <b/>
        <sz val="11"/>
        <color theme="1"/>
        <rFont val="Calibre"/>
      </rPr>
      <t xml:space="preserve">thrombectomy in the U.S. </t>
    </r>
    <r>
      <rPr>
        <sz val="11"/>
        <color theme="1"/>
        <rFont val="Calibre"/>
      </rPr>
      <t>… In the U.S., there are approximately 30,000 annual deaths caused by DVT according to the Centers for Disease Control and Prevention</t>
    </r>
  </si>
  <si>
    <r>
      <t>The</t>
    </r>
    <r>
      <rPr>
        <b/>
        <sz val="11"/>
        <color theme="1"/>
        <rFont val="Calibre"/>
      </rPr>
      <t xml:space="preserve"> Embolization and Access markets </t>
    </r>
    <r>
      <rPr>
        <sz val="11"/>
        <color theme="1"/>
        <rFont val="Calibre"/>
      </rPr>
      <t>are comprised of various diseases and conditions throughout the body, such as aneurysm, hemorrhagic stroke, vessel malformations, bleeding, endoleaks, ovarian veins, varicoceles, and hematomas, as well as products that provide access to the diseased area.</t>
    </r>
  </si>
  <si>
    <t>I'm super excited for the Costa Rica development … Play MNC and let's juice those margins to a competitive standing in a more mature market</t>
  </si>
  <si>
    <t>The Company also warehouses and distributes finished products to international customers utilizing third-party logistics providers in the Netherlands and Australia</t>
  </si>
  <si>
    <r>
      <t xml:space="preserve">On February 14, 2025, The Company entered into agreements to </t>
    </r>
    <r>
      <rPr>
        <b/>
        <sz val="11"/>
        <color theme="1"/>
        <rFont val="Calibre"/>
      </rPr>
      <t>acquire property in Costa Rica</t>
    </r>
    <r>
      <rPr>
        <sz val="11"/>
        <color theme="1"/>
        <rFont val="Calibre"/>
      </rPr>
      <t xml:space="preserve"> and</t>
    </r>
    <r>
      <rPr>
        <b/>
        <sz val="11"/>
        <color theme="1"/>
        <rFont val="Calibre"/>
      </rPr>
      <t xml:space="preserve"> construct a manufacturing facility and warehouse</t>
    </r>
    <r>
      <rPr>
        <sz val="11"/>
        <color theme="1"/>
        <rFont val="Calibre"/>
      </rPr>
      <t xml:space="preserve">, totaling </t>
    </r>
    <r>
      <rPr>
        <b/>
        <sz val="11"/>
        <color theme="1"/>
        <rFont val="Calibre"/>
      </rPr>
      <t>approximately 330,000 square feet</t>
    </r>
    <r>
      <rPr>
        <sz val="11"/>
        <color theme="1"/>
        <rFont val="Calibre"/>
      </rPr>
      <t>, for the production of medical devices</t>
    </r>
  </si>
  <si>
    <t xml:space="preserve">CE Mark </t>
  </si>
  <si>
    <t>TFX</t>
  </si>
  <si>
    <t>Penumbra’s STORM-PE Pivotal Trial of Lightning Flash CAVT Completes Enrollment</t>
  </si>
  <si>
    <t>Study:</t>
  </si>
  <si>
    <t>Overview:</t>
  </si>
  <si>
    <t>https://clinicaltrials.gov/study/NCT05684796</t>
  </si>
  <si>
    <t>https://evtoday.com/news/penumbras-storm-pe-pivotal-trial-of-lightning-flash-cavt-completes-enrollment-1?c4src=news-landing</t>
  </si>
  <si>
    <t>STORM-PE for comparing CAVT vs anticoagulents alone</t>
  </si>
  <si>
    <r>
      <t xml:space="preserve">Penumbra's </t>
    </r>
    <r>
      <rPr>
        <b/>
        <sz val="11"/>
        <color theme="1"/>
        <rFont val="Calibre"/>
      </rPr>
      <t>Thunderbolt offering</t>
    </r>
    <r>
      <rPr>
        <sz val="11"/>
        <color theme="1"/>
        <rFont val="Calibre"/>
      </rPr>
      <t xml:space="preserve"> -- Cutting edge mechanical device used for treating Ischemic Stroke</t>
    </r>
  </si>
  <si>
    <t>Penumbra, Inc. announced (June 16, 2025) the completion of enrollment in the pivotal STORM-PE prospective, multicenter, randomized controlled trial</t>
  </si>
  <si>
    <t>According to The Company, STORM-PE enrolled 100 patients to evaluate computer-assisted vacuum thrombectomy (CAVT) using the Penumbra Lightning Flash plus anticoagulation versus anticoagulation alone for the treatment of acute intermediate-high–risk pulmonary embolism (PE)</t>
  </si>
  <si>
    <t xml:space="preserve">Incredibly small study population … and curious that CAVT is being compared to anti-cuagulents alone … </t>
  </si>
  <si>
    <t xml:space="preserve">Investigate the study's primary endpoint and what The Company and clinicians are seeking to demonstrate … </t>
  </si>
  <si>
    <t>Is it counting minutes to successful treatement, recurrent stroke cases, mortality/complication rates between the two cohorts?</t>
  </si>
  <si>
    <t>Is this a small sample study pushed by managers to unequivically demonstrate mechanical thrombectomy is superior to legacy pharma offerings for the treatment of PE?</t>
  </si>
  <si>
    <t>Penumbra stated that STORM-PE aims to provide high-quality evidence on the role of CAVT in improving right heart function and clinical outcomes in patients with PE ... The trial is being conducted in partnership with the PERT Consortium</t>
  </si>
  <si>
    <t>“PE remains a leading cause of cardiovascular morbidity and mortality, yet treatment strategies for intermediate-high–risk patients are not well defined,” commented Dr. Rosovsky in the company’s press release</t>
  </si>
  <si>
    <t>“The results of this trial will provide level 1 clinical evidence aimed at informing treatment guidelines and patient care.” Dr. Rosovsky is a hematologist at the Massachusetts General Hospital in Boston</t>
  </si>
  <si>
    <t xml:space="preserve">Dr. Lookstein added, “We are pleased to announce that STORM-PE has successfully completed enrollment" ... </t>
  </si>
  <si>
    <t>We congratulate all the sites and the investigators for their dedication and commitment to answering the critical clinical question of whether endovascular therapy with CAVT is superior to medical therapy for acute intermediate-high–risk PE”</t>
  </si>
  <si>
    <t>Originally announced: commencement of enrollment in STORM-PE announced November 2023</t>
  </si>
  <si>
    <t>Completed enrollement - June 16, 2025</t>
  </si>
  <si>
    <t>Focused and lean portfolio of assets … many individual offerings feed into a system</t>
  </si>
  <si>
    <t>Offerings are cheaper for MT products when compared to almost all other competitors … Economic impact is even greater due to leading edge speed safety and ease of use</t>
  </si>
  <si>
    <r>
      <t>The Company has successfully developed, obtained regulatory clearance or approval for, and</t>
    </r>
    <r>
      <rPr>
        <b/>
        <sz val="11"/>
        <color theme="1"/>
        <rFont val="Calibre"/>
      </rPr>
      <t xml:space="preserve"> introduced products into a range of markets which make up a portfolio including: </t>
    </r>
  </si>
  <si>
    <t>A significant portion of the company's inventory is outstanding and in consignment, ready to be used by healthcare providers</t>
  </si>
  <si>
    <t>Salesforce serves as a consultative ramp of sorts … top notch sales people are necessary to effectively describe the superiority of The Company's offering (CAVT, Ruby, etc.) as well as the clinical and economic impact demonstated from PEN products</t>
  </si>
  <si>
    <t>Employees: 4,600 (Q2'25)</t>
  </si>
  <si>
    <r>
      <rPr>
        <b/>
        <sz val="11"/>
        <color theme="1"/>
        <rFont val="Calibre"/>
      </rPr>
      <t>The Company began to classify</t>
    </r>
    <r>
      <rPr>
        <sz val="11"/>
        <color theme="1"/>
        <rFont val="Calibre"/>
      </rPr>
      <t xml:space="preserve"> end markets based on the</t>
    </r>
    <r>
      <rPr>
        <b/>
        <sz val="11"/>
        <color theme="1"/>
        <rFont val="Calibre"/>
      </rPr>
      <t xml:space="preserve"> type of procedure being performed</t>
    </r>
    <r>
      <rPr>
        <sz val="11"/>
        <color theme="1"/>
        <rFont val="Calibre"/>
      </rPr>
      <t xml:space="preserve"> (beginning with the three months ended December 31, 2023), and therefore </t>
    </r>
    <r>
      <rPr>
        <b/>
        <sz val="11"/>
        <color theme="1"/>
        <rFont val="Calibre"/>
      </rPr>
      <t>divide markets into two</t>
    </r>
    <r>
      <rPr>
        <sz val="11"/>
        <color theme="1"/>
        <rFont val="Calibre"/>
      </rPr>
      <t xml:space="preserve"> segment categories: </t>
    </r>
  </si>
  <si>
    <t>Shruthi Narayan is the most likely candidate for CEO as Adam Elsesser will probably shift into a pure chairman role in the coming years</t>
  </si>
  <si>
    <t>Ruby LP Coil System</t>
  </si>
  <si>
    <t>Ruby XL System</t>
  </si>
  <si>
    <t>Peripheral Embolization Products</t>
  </si>
  <si>
    <t>Designed for use with aspiration technology, the 3D Revascularization Device is a component of the Penumbra System that offers anadvanced structure designed to treat large vessel occlusion in combination with Penumbra RED, JET 7, ACE, and MAX Reperfusion Catheters</t>
  </si>
  <si>
    <t>https://evtoday.com/articles/2020-apr/penumbras-complete-embolization-platform-now-with-low-profile-compatibility</t>
  </si>
  <si>
    <t>Sources:</t>
  </si>
  <si>
    <r>
      <rPr>
        <sz val="11"/>
        <color theme="1"/>
        <rFont val="Calibre"/>
      </rPr>
      <t xml:space="preserve">Initial Product Announcement: </t>
    </r>
    <r>
      <rPr>
        <u/>
        <sz val="11"/>
        <color rgb="FF00B0F0"/>
        <rFont val="Calibre"/>
      </rPr>
      <t xml:space="preserve">https://medtechspectrum.com/news/42/24385/penumbra-unveils-ruby-xl-system-for-vascular-embolization.html
</t>
    </r>
    <r>
      <rPr>
        <sz val="11"/>
        <color theme="1"/>
        <rFont val="Calibre"/>
      </rPr>
      <t xml:space="preserve">More Info: </t>
    </r>
    <r>
      <rPr>
        <u/>
        <sz val="11"/>
        <color rgb="FF00B0F0"/>
        <rFont val="Calibre"/>
      </rPr>
      <t xml:space="preserve">https://medtechspectrum.com/interviews/22/24428/penumbra-reaches-new-heights-with-ruby-xl-advancing-precision-in-vascular-embolization.html
</t>
    </r>
  </si>
  <si>
    <t xml:space="preserve">POD (Penumbra Occlusion Device) 
</t>
  </si>
  <si>
    <t>https://www.penumbrainc.com/products/packing-coil/</t>
  </si>
  <si>
    <t>https://www.penumbrainc.com/products/lantern-delivery-microcatheter/</t>
  </si>
  <si>
    <t>https://www.penumbrainc.com/products/ruby-coil/</t>
  </si>
  <si>
    <t>Large-volume embolization coil designed for arterial and venous embolization in peripheral vasculature. Features 3D complex shape, available in standard and soft options, compatible with LANTERN high-flow microcatheters</t>
  </si>
  <si>
    <t>The longest, largest, and softest coil system on the market. Designed for high-volume embolization in large vessel and high-flow settings. Includes Ruby XL, POD XL, and Packing Coil XL, deliverable through 0.035”+ diagnostic catheters</t>
  </si>
  <si>
    <t>- Available in sizes 2–40 mm diameter, lengths 1–60 cm. Mechanical detachment</t>
  </si>
  <si>
    <t>High-flow microcatheter designed for delivery of Penumbra’s embolization coils, compatible with .025-inch + inner diameter. Available in straight, 45°, and 90° angled tip configurations</t>
  </si>
  <si>
    <t>Anchoring coil designed for use in high-flow vessels, providing both anchoring and framing components for effective vessel occlusion</t>
  </si>
  <si>
    <t>- Engineered for high-flow vessel embolization; used alongside Ruby coils</t>
  </si>
  <si>
    <r>
      <rPr>
        <sz val="11"/>
        <color theme="1"/>
        <rFont val="Calibre"/>
      </rPr>
      <t>Penumbra Products Page:</t>
    </r>
    <r>
      <rPr>
        <u/>
        <sz val="11"/>
        <color rgb="FF00B0F0"/>
        <rFont val="Calibre"/>
      </rPr>
      <t xml:space="preserve">
https://www.penumbrainc.com/products/pod/
</t>
    </r>
    <r>
      <rPr>
        <sz val="11"/>
        <color theme="1"/>
        <rFont val="Calibre"/>
      </rPr>
      <t>Trade Article:</t>
    </r>
    <r>
      <rPr>
        <u/>
        <sz val="11"/>
        <color rgb="FF00B0F0"/>
        <rFont val="Calibre"/>
      </rPr>
      <t xml:space="preserve">
Engineered for high-flow vessel embolization; used alongside Ruby coils</t>
    </r>
  </si>
  <si>
    <t>Dense packing coil designed to fill vessel or aneurysm spaces effectively, retractable “liquid metal” technology allowing dense packing behind backstop coils</t>
  </si>
  <si>
    <t>- Used for high-density packing in embolization procedures</t>
  </si>
  <si>
    <t>Low-profile version of the Packing Coil, deliverable through smaller microcatheters with longer lengths and softer coil designs for small vessel embolization</t>
  </si>
  <si>
    <t>- Complements Packing Coil and Ruby LP coils for low-profile applications</t>
  </si>
  <si>
    <r>
      <rPr>
        <sz val="11"/>
        <color theme="1"/>
        <rFont val="Calibre"/>
      </rPr>
      <t>Penumbra Products Page:</t>
    </r>
    <r>
      <rPr>
        <u/>
        <sz val="11"/>
        <color rgb="FF00B0F0"/>
        <rFont val="Calibre"/>
      </rPr>
      <t xml:space="preserve">
https://www.penumbrainc.com/products/lp-system/
</t>
    </r>
    <r>
      <rPr>
        <sz val="11"/>
        <color theme="1"/>
        <rFont val="Calibre"/>
      </rPr>
      <t xml:space="preserve">EV Today:
</t>
    </r>
    <r>
      <rPr>
        <u/>
        <sz val="11"/>
        <color rgb="FF00B0F0"/>
        <rFont val="Calibre"/>
      </rPr>
      <t>https://evtoday.com/articles/2020-apr/penumbras-complete-embolization-platform-now-with-low-profile-compatibility</t>
    </r>
  </si>
  <si>
    <t>ACE Catheters
(ACE68, ACE64, and ACE60)</t>
  </si>
  <si>
    <t xml:space="preserve">Legacy Large-Bore Reperfusion Catheters
</t>
  </si>
  <si>
    <t>Newest Premium Line of Reperfusion Catheters</t>
  </si>
  <si>
    <t>Milli-Spinner - (Startup)</t>
  </si>
  <si>
    <t>&lt;- Document</t>
  </si>
  <si>
    <t>Legacy Reperfusion Catheters</t>
  </si>
  <si>
    <t>RED 43: 2022
RED 62: 2021
RED 68: 2021
RED 72: 2021
RED 72 "SILVER LABEL": 2025</t>
  </si>
  <si>
    <t xml:space="preserve">Penumbra ENGINE
</t>
  </si>
  <si>
    <r>
      <t xml:space="preserve">Revascularization in patients with acute ischemic stroke from clots in various intracranial vessel sizes
</t>
    </r>
    <r>
      <rPr>
        <b/>
        <sz val="11"/>
        <color theme="1"/>
        <rFont val="Calibre"/>
      </rPr>
      <t>RED 43</t>
    </r>
    <r>
      <rPr>
        <sz val="11"/>
        <color theme="1"/>
        <rFont val="Calibre"/>
      </rPr>
      <t xml:space="preserve">: Smallest lumen, designed for distal and more tortuous vessel navigation (.043" lumen)
</t>
    </r>
    <r>
      <rPr>
        <b/>
        <sz val="11"/>
        <color theme="1"/>
        <rFont val="Calibre"/>
      </rPr>
      <t>RED 62</t>
    </r>
    <r>
      <rPr>
        <sz val="11"/>
        <color theme="1"/>
        <rFont val="Calibre"/>
      </rPr>
      <t xml:space="preserve">: Medium-bore catheter with advanced trackability for challenging anatomy (.062" lumen)
</t>
    </r>
    <r>
      <rPr>
        <b/>
        <sz val="11"/>
        <color theme="1"/>
        <rFont val="Calibre"/>
      </rPr>
      <t>RED 68</t>
    </r>
    <r>
      <rPr>
        <sz val="11"/>
        <color theme="1"/>
        <rFont val="Calibre"/>
      </rPr>
      <t xml:space="preserve">: Medium-bore catheter combining trackability and efficient clot engagement (.068" lumen)
</t>
    </r>
    <r>
      <rPr>
        <b/>
        <sz val="11"/>
        <color theme="1"/>
        <rFont val="Calibre"/>
      </rPr>
      <t>RED 72 SILVER LABEL</t>
    </r>
    <r>
      <rPr>
        <sz val="11"/>
        <color theme="1"/>
        <rFont val="Calibre"/>
      </rPr>
      <t xml:space="preserve">: Large-bore catheter providing the highest thrombectomy retrieval force (TRF) available, optimally designed for maximum clot removal efficiency (.072" lumen) </t>
    </r>
  </si>
  <si>
    <r>
      <t xml:space="preserve">Revascularization of patients with acute ischemic stroke
</t>
    </r>
    <r>
      <rPr>
        <b/>
        <sz val="11"/>
        <color theme="1"/>
        <rFont val="Calibre"/>
      </rPr>
      <t>JET 7</t>
    </r>
    <r>
      <rPr>
        <sz val="11"/>
        <color theme="1"/>
        <rFont val="Calibre"/>
      </rPr>
      <t xml:space="preserve">: designed specifically for high TRF in proximal LVOs (.072" lumen)
     On January 29, 2021, Penumbra initiated a Class I Recall (the most serious type of FDA recall) for the JET 7. This was due to a potential risk of the catheter tip becoming damaged (e.g., stretching, breaking, or separating) during use
</t>
    </r>
    <r>
      <rPr>
        <b/>
        <sz val="11"/>
        <color theme="1"/>
        <rFont val="Calibre"/>
      </rPr>
      <t>JET D</t>
    </r>
    <r>
      <rPr>
        <sz val="11"/>
        <color theme="1"/>
        <rFont val="Calibre"/>
      </rPr>
      <t>: distal occlusions (smaller, more distal cerebral vessels)
     Concurrently with the JET 7, Penumbra also issued a Class I Recall for the JET D catheter for similar potential tip damage issues</t>
    </r>
  </si>
  <si>
    <t>JET 7: 2019
(Safety Recall in 2021)
JET 7 X Re-release: 2022
JET D: 2020
(Safety Recall in 2021)
JET D X Re-release: 2023</t>
  </si>
  <si>
    <t>2017</t>
  </si>
  <si>
    <t>2016</t>
  </si>
  <si>
    <t>2020</t>
  </si>
  <si>
    <t>2025</t>
  </si>
  <si>
    <t>2018</t>
  </si>
  <si>
    <t>- Low-profile coils deliverable through smaller microcatheters (0.0165–0.021 inch). Offers longer lengths, larger volume, and softer coils than conventional coils in low-profile applications</t>
  </si>
  <si>
    <t xml:space="preserve">LP - "Low-Profile"
Ruby Coil LP offers longer and softer coils, deliverable through low-profile microcatheters
</t>
  </si>
  <si>
    <t>It is intended for use in the revascularization of patients with acute ischemic stroke secondary to intracranial large vessel occlusions (LVO)</t>
  </si>
  <si>
    <t>The RED family of catheters provides a full range of catheters designed to allow physicians to adapt to any situation (small - large lumen catheters for all stroke cases)</t>
  </si>
  <si>
    <r>
      <t xml:space="preserve">Designed for aspiration during endovascular treatment of acute ischemic stroke caused by large vessel occlusion (LVO)
</t>
    </r>
    <r>
      <rPr>
        <b/>
        <sz val="11"/>
        <color theme="1"/>
        <rFont val="Calibre"/>
      </rPr>
      <t>ACE 68</t>
    </r>
    <r>
      <rPr>
        <sz val="11"/>
        <color theme="1"/>
        <rFont val="Calibre"/>
      </rPr>
      <t xml:space="preserve">: Large inner lumen for max clot extraction (0.068″ lumen)
</t>
    </r>
    <r>
      <rPr>
        <b/>
        <sz val="11"/>
        <color theme="1"/>
        <rFont val="Calibre"/>
      </rPr>
      <t>ACE 64</t>
    </r>
    <r>
      <rPr>
        <sz val="11"/>
        <color theme="1"/>
        <rFont val="Calibre"/>
      </rPr>
      <t xml:space="preserve">: Slightly smaller lumen optimized for balance of flexibility &amp; clot engagement (0.064″ lumen)
</t>
    </r>
    <r>
      <rPr>
        <b/>
        <sz val="11"/>
        <color theme="1"/>
        <rFont val="Calibre"/>
      </rPr>
      <t>ACE 60</t>
    </r>
    <r>
      <rPr>
        <sz val="11"/>
        <color theme="1"/>
        <rFont val="Calibre"/>
      </rPr>
      <t>: Designed for aspiration in smaller or distal vessels (0.060″ lumen)</t>
    </r>
  </si>
  <si>
    <r>
      <t xml:space="preserve">Revascularization of patients with acute ischemic stroke
</t>
    </r>
    <r>
      <rPr>
        <b/>
        <sz val="11"/>
        <color theme="1"/>
        <rFont val="Calibre"/>
      </rPr>
      <t>5MAX</t>
    </r>
    <r>
      <rPr>
        <sz val="11"/>
        <color theme="1"/>
        <rFont val="Calibre"/>
      </rPr>
      <t>:</t>
    </r>
    <r>
      <rPr>
        <b/>
        <sz val="11"/>
        <color theme="1"/>
        <rFont val="Calibre"/>
      </rPr>
      <t xml:space="preserve"> </t>
    </r>
    <r>
      <rPr>
        <sz val="11"/>
        <color theme="1"/>
        <rFont val="Calibre"/>
      </rPr>
      <t>Large lumen for max aspiration, robust construction for pushability (0.070" lumen)</t>
    </r>
    <r>
      <rPr>
        <b/>
        <sz val="11"/>
        <color theme="1"/>
        <rFont val="Calibre"/>
      </rPr>
      <t xml:space="preserve">
4MAX</t>
    </r>
    <r>
      <rPr>
        <sz val="11"/>
        <color theme="1"/>
        <rFont val="Calibre"/>
      </rPr>
      <t>: Balanced size for aspirating clots in smaller, more distal arteries (0.058" lumen)</t>
    </r>
    <r>
      <rPr>
        <b/>
        <sz val="11"/>
        <color theme="1"/>
        <rFont val="Calibre"/>
      </rPr>
      <t xml:space="preserve"> 
3MAX</t>
    </r>
    <r>
      <rPr>
        <sz val="11"/>
        <color theme="1"/>
        <rFont val="Calibre"/>
      </rPr>
      <t>: Smallest size with a flexible design to access distal occlusions (~0.045" lumen)</t>
    </r>
  </si>
  <si>
    <t>Clot Retrieval Device</t>
  </si>
  <si>
    <t>The 3D device assists clot removal by trapping and securing thrombus inside its unique architecture, which includes four intraluminal chambers and petals designed to lock and trap clot material effectively during retrieval
Designed for use with Penumbra’s reperfusion catheters, including RED, JET, and ACE ... delivered using a Velocity microcatheter</t>
  </si>
  <si>
    <t>Penumbra RED, JET, ACE, and MAX catheters</t>
  </si>
  <si>
    <t>The Penumbra ENGINE is the aspiration source device that powers the entire Penumbra System, including all reperfusion catheters such as RED, JET, ACE, MAX, and the 3D Revascularization Device 
It generates and maintains nearly pure vacuum which drives clot capture through aspiration</t>
  </si>
  <si>
    <t>Lightning Flash 2.0</t>
  </si>
  <si>
    <t>Lightning Bolt 7</t>
  </si>
  <si>
    <t>Lightning Bolt 12</t>
  </si>
  <si>
    <t>Lightning Bolt 6X with TraX</t>
  </si>
  <si>
    <t>Peripheral Vascular Catheter Family</t>
  </si>
  <si>
    <t>Pre-IPO</t>
  </si>
  <si>
    <t>In 2023, The Company added to the RED family by launching the RED 43 catheter and RED 72 catheter with SENDit Technology</t>
  </si>
  <si>
    <t>Either Penumbra ENGINE or Penumbra Pump MAX (older technology) is connected to reperfusion catheters to provide the aspiration suction force</t>
  </si>
  <si>
    <t xml:space="preserve">  </t>
  </si>
  <si>
    <t xml:space="preserve">Peripheral Mechanical Thrombectomy Catheter with Computer Assisted Vacuum Thrombectomy (CAVT) Technology </t>
  </si>
  <si>
    <t>Next-gen CAVT offering ... Lightning Flash 2.0 represents Penumbra's most advanced and efficient thrombectomy catheter for venous thrombus and PE treatment
Utilizes Lightning Intelligent Aspiration technology with dual clot detection algorithms (pressure differential and flow-based) to accelerate clot detection and removal
Made with MaxID hypotube technology, enabling a large inner diameter comparable to large-bore catheters while maintaining a lower profile and a soft, atraumatic tip for enhanced navigation and safety
Designed to deliver high-power aspiration for rapid clot removal with minimized blood loss</t>
  </si>
  <si>
    <t xml:space="preserve">RED Catheters 
(RED 43, RED 62, RED 68, RED 72 STANDARD LABEL, and RED 72 SILVER LABEL)
</t>
  </si>
  <si>
    <t xml:space="preserve">Newest Premium Peripheral Mechanical Thrombectomy Catheter with Computer Assisted Vacuum Thrombectomy (CAVT) Technology </t>
  </si>
  <si>
    <t>Penumbra's original Lightning Flash catheter, launched in January 2023, is a peripheral mechanical thrombectomy catheter designed for removal of venous thrombi and PE using advanced CAVT technology
Lightning Flash is not considered "legacy" and is still actively being marketed by sales reps as of Q2'25 ... 2.0 is the most premium and cutting edge leading to best outcomes ... 1.0 still has standing in a variety of markets</t>
  </si>
  <si>
    <t xml:space="preserve">"Legacy" Peripheral Mechanical Thrombectomy Catheter with Computer Assisted Vacuum Thrombectomy (CAVT) Technology </t>
  </si>
  <si>
    <t xml:space="preserve">Legacy Large-Bore Reperfusion Catheters </t>
  </si>
  <si>
    <t>Penumbra's Lightning Bolt 12 is a high-profile, 12 French vascular thrombectomy catheter designed for venous thromboembolism (VTE) and large vessel thrombus removal using modulated aspiration technology (CAVT) 
Utilizes Bolt 2.0 Software - powering escalated modulation for higher thrombus burdens, enabling 3x faster aspiration compared to the previous Bolt (Bolt 1.0) algorithm
Advanced modulated aspiration (Bolt 2.0 software - dual clot detection algo) for rapid and efficient clot removal in venous thromboembolism (VTE), PE, ALI, portal veins, and large arterial thrombus
Includes improvements like automatic backflush, increased aspiration tubing size (+22%), and optimized valve cadence to accelerate clot removal</t>
  </si>
  <si>
    <t>Penumbra's Lightning Bolt 7 is a medium-profile, 7 French vascular thrombectomy catheter designed for arterial thrombectomy with a focus on acute limb ischemia and arterial clots
Utilizes Bolt Mode - a modulated aspiration technique that rapidly alternates aspiration pressure to break the friction between clot and catheter tip, facilitating faster thrombus ingestion</t>
  </si>
  <si>
    <t xml:space="preserve">Peripheral Vascular Catheter for Upper and Lower Arm Distal Peripheral Anatomy with Computer Assisted Vacuum Thrombectomy (CAVT) Technology </t>
  </si>
  <si>
    <t>CAT7D</t>
  </si>
  <si>
    <t>Penumbra's Lightning Bolt 6X is a small-profile, 6 French vascular thrombectomy catheter optimized for smaller arteries and distal thrombus, including below-the-knee occlusions, tibioperoneal, and anterior tibial arteries
Boasts coil-wind capabilities and hydrophilic coating ... Enhances trackability and smooth passage through tortuous, complex anatomy
Utilizes Bolt Mode - a modulated aspiration technique that rapidly alternates aspiration pressure to break the friction between clot and catheter tip, facilitating faster thrombus ingestion
Penumbra announced Bolt 6x is up to 5x faster than CAT6 with Separator 6</t>
  </si>
  <si>
    <t>Original ENGINE: Pre-IPO 
ENGINE 2: 2020</t>
  </si>
  <si>
    <t>The CAT7D is specifically built and indicated for thrombectomy in dialysis accesses (AV fistulas and grafts) and for upper/lower arm peripheral clot removal procedures
CAT7D does not employ Lightning CAVT microprocessor-controlled aspiration or Bolt Mode/Bolt 2.0 ...  it relies on continuous high-powered vacuum using the Penumbra ENGINE for effective clot removal in arm access sites</t>
  </si>
  <si>
    <t>Penumbra’s CAT RX is a specialized low-profile mechanical aspiration thrombectomy catheter primarily designed for removal of thrombus in the coronary arteries—as a tool for interventional cardiologists in cases of acute coronary syndrome (ACS), ST-elevation myocardial infarction (STEMI), and other high thrombus burden scenarios encountered during percutaneous coronary interventions (PCI) … Coronary targeted indications
CAT RX is also indicated for removing fresh, soft emboli and thrombi from vessels in the peripheral vasculature when needed ... secondary indication</t>
  </si>
  <si>
    <t>Interventional Coronary Thrombectomy Catheter</t>
  </si>
  <si>
    <t>Penumbra’s CAT3, CAT5, CAT6, and CAT8 are the original peripheral aspiration thrombectomy catheters in the Indigo System, designed for removal of thrombus from arteries and veins in the peripheral vasculature
The CATx family is not fully legacy but  the Lightning and Bolt seriesis increasingly supplanting these earlier CAT catheters for many use cases
CAT3: 3F - distal, small vessel access
CAT5: 5F - mid-sized arteries/veins
CAT6: 6F - popliteal/above-knee vessels 
CAT8: 8F - iliac veins, vena cava, and largest vessel clot burdens</t>
  </si>
  <si>
    <t>Proprietary vacuum aspiration pump
It generates and maintains nearly pure vacuum which drives clot capture through aspiration</t>
  </si>
  <si>
    <t xml:space="preserve">         </t>
  </si>
  <si>
    <t>Small Euro firm … Penumbra actually markets some of Acandis's products through their sales team in U.S. Markets for a commission</t>
  </si>
  <si>
    <t>Peripheral thrombectomy is a significantly more common occurrence, and the peripheral franchise is significantly larger by treatment volume but Neuro procedures have a significantly higher ASP per procedure … didn't get much more info other than that</t>
  </si>
  <si>
    <t>Management reiterated during Q2 call - "We remain on track and are well positioned to achieve a gross margin profile of over 70% by the end of 2026 and expect operating margin expansion to outpace gross margin expansion for the foreseeable future"</t>
  </si>
  <si>
    <t>Platinum is used due to the metal's biocompatibility and high radiopacity (making the tool easier to track in the patient's body)</t>
  </si>
  <si>
    <t>Elsesser said: As we further expand our product portfolio, we will strategically invest in our commercial team in a measured way to support and enhance focus on the large market opportunities we're addressing, positioning our commercial team for success. We continue to expand and leverage our market access initiatives to increase awareness around CAVT's clinical as well as health economic benefits. The other area that we're investing in is I've talked about making sure the commercial team has the capacity to focus. We have a lot of products and vascular is selling a suite now of embolization tools with yet another one to launch and then a suite of CAVT tools, sometimes they're different customer bases. That's a lot to do and we need those teams to focus. So we'll give you more information about that probably in upcoming quarters of what that really means at a specific level</t>
  </si>
  <si>
    <t>With SYK's recent acquisition of NARI in Q1'25, there was significant sales force flight … Penumbra management mentioned that the lot of them are not compatible with PEN's strategy, but has selectively picked up prime talent looking for new opportunity</t>
  </si>
  <si>
    <t>Picking up small amounts of highly trained and experience med-tech sales people … track for commentary during Q2 earnings commentary</t>
  </si>
  <si>
    <t>Follow-up commentary on Sales Force from Q2 Earnings Call:</t>
  </si>
  <si>
    <t xml:space="preserve">Elsesser mentioned: We strategically invested in the build-out of a separate peripheral embolization sales force so as to provide heightened focus in thrombectomy and embolization ... We have added over 50 embolization sales reps and over 40 vascular clinical specialists to our teams … With these new hires in place, we will be able to have a team solely focused on our thrombectomy business as well as a separate team focused on launching RUBY XL and driving long-term growth in our embolization business  </t>
  </si>
  <si>
    <t>Elsesser followed up: We expect to see ramping benefit from our investment in our commercial team through the back half of the year and beyond with our thrombectomy team well positioned to exclusively focus on continuing to address the significant unmet need in the treatment of clot burden throughout the body and our new Embo team able to focus on providing our comprehensive coil portfolio to physicians and hospitals</t>
  </si>
  <si>
    <t>"Lots and lots of talk out there, excitement about it. And obviously, the two most important parts about those stroke procedures is one, you have to be able to get the catheter there safely and quickly with this new catheter"</t>
  </si>
  <si>
    <t>"I think in that size category, we are without a doubt sort of the market leader on that side and then be able to get it out really quickly. I think Thunderbolt will show that benefit. So I think our stroke business is in pretty great shape"</t>
  </si>
  <si>
    <t>On The Company's Q2 earnings call, managers mentioned "In its first full quarter on the market, RED 72 SILVER LABEL with its enhanced trackability continued to generate strong physician interest and saw ramping adoption and utilization"</t>
  </si>
  <si>
    <t>The Company has still not received an approval label from the FDA to introduce CAVT to neuro anatomy as of Q2'25</t>
  </si>
  <si>
    <t>Elsesser mentioned: We are currently in an active process with the FDA and we'll provide additional updates as soon as possible. We remain very excited to introduce Thunderbolt to the neurovascular field</t>
  </si>
  <si>
    <t>Larry Beigelsen of Wells Fargo Asked:</t>
  </si>
  <si>
    <t xml:space="preserve">Do you expect a normal FDA review process for Thunderbolt? </t>
  </si>
  <si>
    <t>What key metrics will physicians use to compare Thunderbolt against other catheters (first-pass effect, procedure time, etc.)?</t>
  </si>
  <si>
    <t>From personal interactions with Adam and the C-suite, there was a degree of underlying excitement for Thunderbolt and introducing CAVT to the brain which felt genuine …  It remains a valuable prospect, but were is their approval label; thought something would have come out by now (9/28/25)</t>
  </si>
  <si>
    <t>A bit more hands off now … Holds an ad libitum general consulting role now … really cool guy</t>
  </si>
  <si>
    <r>
      <rPr>
        <b/>
        <sz val="11"/>
        <color theme="1"/>
        <rFont val="Calibre"/>
      </rPr>
      <t>"Any</t>
    </r>
    <r>
      <rPr>
        <sz val="11"/>
        <color theme="1"/>
        <rFont val="Calibre"/>
      </rPr>
      <t xml:space="preserve"> </t>
    </r>
    <r>
      <rPr>
        <b/>
        <sz val="11"/>
        <color theme="1"/>
        <rFont val="Calibre"/>
      </rPr>
      <t>update</t>
    </r>
    <r>
      <rPr>
        <sz val="11"/>
        <color theme="1"/>
        <rFont val="Calibre"/>
      </rPr>
      <t xml:space="preserve"> </t>
    </r>
    <r>
      <rPr>
        <b/>
        <sz val="11"/>
        <color theme="1"/>
        <rFont val="Calibre"/>
      </rPr>
      <t>on</t>
    </r>
    <r>
      <rPr>
        <sz val="11"/>
        <color theme="1"/>
        <rFont val="Calibre"/>
      </rPr>
      <t xml:space="preserve"> how we should think about the </t>
    </r>
    <r>
      <rPr>
        <b/>
        <sz val="11"/>
        <color theme="1"/>
        <rFont val="Calibre"/>
      </rPr>
      <t>FDA review time for Thunderbolt</t>
    </r>
    <r>
      <rPr>
        <sz val="11"/>
        <color theme="1"/>
        <rFont val="Calibre"/>
      </rPr>
      <t>? I think in the past, if I'm not mistaken, you've pointed to</t>
    </r>
    <r>
      <rPr>
        <b/>
        <sz val="11"/>
        <color theme="1"/>
        <rFont val="Calibre"/>
      </rPr>
      <t xml:space="preserve"> precedents that had about a 6-month review time"</t>
    </r>
  </si>
  <si>
    <t>"Also … some investors, Adam, I think, have construed some of your recent comments that your enthusiasm for Thunder has changed. Could you address those items, please?"</t>
  </si>
  <si>
    <r>
      <t xml:space="preserve">"Yes, </t>
    </r>
    <r>
      <rPr>
        <b/>
        <sz val="11"/>
        <color theme="1"/>
        <rFont val="Calibre"/>
      </rPr>
      <t>I don't remember saying 6 months for a clinical study</t>
    </r>
    <r>
      <rPr>
        <sz val="11"/>
        <color theme="1"/>
        <rFont val="Calibre"/>
      </rPr>
      <t xml:space="preserve">. The product </t>
    </r>
    <r>
      <rPr>
        <b/>
        <sz val="11"/>
        <color theme="1"/>
        <rFont val="Calibre"/>
      </rPr>
      <t>review times vary</t>
    </r>
    <r>
      <rPr>
        <sz val="11"/>
        <color theme="1"/>
        <rFont val="Calibre"/>
      </rPr>
      <t xml:space="preserve"> depending on the company. That being said, I can tell you the following. We worked with the FDA for many, many years, the neuro division."</t>
    </r>
  </si>
  <si>
    <t>"I can tell you that they are thorough, which is something that I'm extremely supportive of. These are obviously products going up into people's brains, and I'm very supportive of that process … The process is what we expected with the FDA"</t>
  </si>
  <si>
    <t>"To be honest, I've heard the rumors that I'm somehow not excited. I do not know how to say it any more than I've said it over and over. It is an amazing product, and I think it will have a huge, huge positive impact for many, many people for many, many years to come"</t>
  </si>
  <si>
    <r>
      <t xml:space="preserve">Follow-up commentary on THUNDER Clinical Trail from </t>
    </r>
    <r>
      <rPr>
        <b/>
        <sz val="11"/>
        <color theme="1"/>
        <rFont val="Calibre"/>
      </rPr>
      <t>Q2 Earnings Call:</t>
    </r>
  </si>
  <si>
    <r>
      <t xml:space="preserve">Follow-up commentary on THUNDER Clinical Trail from </t>
    </r>
    <r>
      <rPr>
        <b/>
        <sz val="11"/>
        <color theme="1"/>
        <rFont val="Calibre"/>
      </rPr>
      <t>Q1 Earnings Call:</t>
    </r>
  </si>
  <si>
    <r>
      <t xml:space="preserve">When I go to clinicaltrails.gov, it is stated that the </t>
    </r>
    <r>
      <rPr>
        <b/>
        <sz val="11"/>
        <color theme="1"/>
        <rFont val="Calibre"/>
      </rPr>
      <t xml:space="preserve">study was completed on 12/10/2024 </t>
    </r>
    <r>
      <rPr>
        <sz val="11"/>
        <color theme="1"/>
        <rFont val="Calibre"/>
      </rPr>
      <t>and the last update hasn't been since 1/29/2025</t>
    </r>
  </si>
  <si>
    <t>The FDA's District office is just across the street from Penumbra's HQ … They actually come over to eat at our cafeteria … close relationship (good sentiment and proximity)</t>
  </si>
  <si>
    <t>William John Plovanic of Canaccord asked:</t>
  </si>
  <si>
    <t>Larry Beigelsen of Wells Fargo asked:</t>
  </si>
  <si>
    <t>"I 100% appreciate and respect the question. I think there's only -- I'm only going to get in trouble if I answer that because it's going to be a nuanced thing that it's going to be misunderstood, and I don't want that to be done"</t>
  </si>
  <si>
    <t>"So you've submitted your filing … I understand and appreciate kind of the process with the FDA on Thunderbolt … At this point, you should be getting towards the end of that … "</t>
  </si>
  <si>
    <t>"Is there any more like data or studies or anything else you need to provide? Or is this just answering basic questions and labeling as we think about the process to get the product cleared from the FDA and on the market?"</t>
  </si>
  <si>
    <t>"… Let me stick with what I said, which is we're going through the process. It's what we expected, and we can't wait to launch this product"</t>
  </si>
  <si>
    <t xml:space="preserve">This was interesting to see in person … and the tone is somewhat lost on the call … Just doesn't want to be caught in any binds with investors, giving out an uncertain approval date … The product has been bouncing around in the FDA approval process for a while now though </t>
  </si>
  <si>
    <t>VOO Historical Returns</t>
  </si>
  <si>
    <t>Change</t>
  </si>
  <si>
    <r>
      <rPr>
        <i/>
        <sz val="11"/>
        <color theme="1"/>
        <rFont val="Calibre"/>
      </rPr>
      <t>1004</t>
    </r>
    <r>
      <rPr>
        <sz val="11"/>
        <color theme="1"/>
        <rFont val="Calibre"/>
      </rPr>
      <t xml:space="preserve"> Trading Days? (From: </t>
    </r>
    <r>
      <rPr>
        <i/>
        <sz val="11"/>
        <color theme="1"/>
        <rFont val="Calibre"/>
      </rPr>
      <t>4/30/21 - 4/29/25</t>
    </r>
    <r>
      <rPr>
        <sz val="11"/>
        <color theme="1"/>
        <rFont val="Calibre"/>
      </rPr>
      <t>)</t>
    </r>
  </si>
  <si>
    <t>PEN Historical Returns</t>
  </si>
  <si>
    <t>https://clinicaltrials.gov/study/NCT05684796?term=STORM%20Penumbra&amp;rank=1</t>
  </si>
  <si>
    <t>- XL was specifically designed to be the longest, largest, and softest coil available for vascular embolization, offering increased volume and softness for packing large vessel spaces 
- Designed for procedural efficiency with coils up to 40 mm diameter &amp; 70 cm length 
- Large primary diameter of 0.030 inch
- Platinum detachable coil system  
- Offers mechanical occlusion technology</t>
  </si>
  <si>
    <t>Ruby XL Coil System</t>
  </si>
  <si>
    <t>Long‑segment varix, portal, or ovarian vein embolization where long coils allow continuous packing along extended vascular beds</t>
  </si>
  <si>
    <t>Complex aneurysm framing and packing in peripheral beds where high packing density and durable mechanical occlusion are desired</t>
  </si>
  <si>
    <r>
      <t xml:space="preserve">Large‑bore platform and </t>
    </r>
    <r>
      <rPr>
        <b/>
        <sz val="11"/>
        <color theme="1"/>
        <rFont val="Calibre"/>
      </rPr>
      <t>can be delivered through a standard 0.035‑inch‑plus diagnostic catheter rather than a dedicated microcatheter</t>
    </r>
  </si>
  <si>
    <r>
      <rPr>
        <b/>
        <sz val="11"/>
        <color theme="1"/>
        <rFont val="Calibre"/>
      </rPr>
      <t xml:space="preserve">Ruby XL is a platinum detachable coil system </t>
    </r>
    <r>
      <rPr>
        <sz val="11"/>
        <color theme="1"/>
        <rFont val="Calibre"/>
      </rPr>
      <t xml:space="preserve">with a large primary diameter of 0.030 inch, making it the </t>
    </r>
    <r>
      <rPr>
        <b/>
        <sz val="11"/>
        <color theme="1"/>
        <rFont val="Calibre"/>
      </rPr>
      <t xml:space="preserve">largest and longest detachable embolization coil commercially available </t>
    </r>
    <r>
      <rPr>
        <sz val="11"/>
        <color theme="1"/>
        <rFont val="Calibre"/>
      </rPr>
      <t>as of mid‑2025</t>
    </r>
  </si>
  <si>
    <r>
      <rPr>
        <b/>
        <sz val="11"/>
        <color theme="1"/>
        <rFont val="Calibre"/>
      </rPr>
      <t>A key workflow differentiator</t>
    </r>
    <r>
      <rPr>
        <sz val="11"/>
        <color theme="1"/>
        <rFont val="Calibre"/>
      </rPr>
      <t xml:space="preserve"> in the setup process for interventionalists</t>
    </r>
    <r>
      <rPr>
        <b/>
        <sz val="11"/>
        <color theme="1"/>
        <rFont val="Calibre"/>
      </rPr>
      <t xml:space="preserve"> is delivery of the Ruby XL packing coil through a single diagnostic catheter </t>
    </r>
    <r>
      <rPr>
        <sz val="11"/>
        <color theme="1"/>
        <rFont val="Calibre"/>
      </rPr>
      <t>without the need for a coaxial microcatheter system</t>
    </r>
  </si>
  <si>
    <r>
      <rPr>
        <b/>
        <sz val="11"/>
        <color theme="1"/>
        <rFont val="Calibre"/>
      </rPr>
      <t>Legacy coil systems typically require a coaxial setup</t>
    </r>
    <r>
      <rPr>
        <sz val="11"/>
        <color theme="1"/>
        <rFont val="Calibre"/>
      </rPr>
      <t xml:space="preserve"> (diagnostic catheter + microcatheter) to deploy packing coils, whereas Ruby XL is designed to eliminate that extra layer and run through a single diagnostic catheter</t>
    </r>
  </si>
  <si>
    <t>In practice, this allows clinicians to now perform an angiography, select the target vessel, and then simply begin deploying XL coils through that same diagnostic catheter ... using it as both the imaging and delivery conduit (“dual diagnostic and therapeutic capabilities”)</t>
  </si>
  <si>
    <t>This removes several steps … no need for exchanging for a high‑flow microcatheter (like Lantern), no extra guidewire navigation, and fewer catheter manipulations … setup, embolization, and wrap‑up all occur over a single catheter system</t>
  </si>
  <si>
    <t>- Enables delivery of legacy Ruby and POD coils designed for complex embolizations</t>
  </si>
  <si>
    <t>Eliminating the microcatheter layer with Ruby XL reduces device exchanges, wire work, and the risk of losing position during catheter swaps, which can be non‑trivial in tortuous anatomy or large, high‑flow vessels</t>
  </si>
  <si>
    <r>
      <rPr>
        <b/>
        <sz val="11"/>
        <color theme="1"/>
        <rFont val="Calibre"/>
      </rPr>
      <t>Ruby XL System is FDA‑cleared for arterial and venous embolization in the peripheral vasculature</t>
    </r>
    <r>
      <rPr>
        <sz val="11"/>
        <color theme="1"/>
        <rFont val="Calibre"/>
      </rPr>
      <t>, targeting large‑caliber and high‑flow territories where conventional coils are often inefficient</t>
    </r>
  </si>
  <si>
    <r>
      <rPr>
        <b/>
        <sz val="11"/>
        <color theme="1"/>
        <rFont val="Calibre"/>
      </rPr>
      <t>Designed to create a 3D scaffold</t>
    </r>
    <r>
      <rPr>
        <sz val="11"/>
        <color theme="1"/>
        <rFont val="Calibre"/>
      </rPr>
      <t xml:space="preserve"> </t>
    </r>
    <r>
      <rPr>
        <b/>
        <sz val="11"/>
        <color theme="1"/>
        <rFont val="Calibre"/>
      </rPr>
      <t xml:space="preserve">in big </t>
    </r>
    <r>
      <rPr>
        <sz val="11"/>
        <color theme="1"/>
        <rFont val="Calibre"/>
      </rPr>
      <t xml:space="preserve">aneurysms or </t>
    </r>
    <r>
      <rPr>
        <b/>
        <sz val="11"/>
        <color theme="1"/>
        <rFont val="Calibre"/>
      </rPr>
      <t xml:space="preserve">vessels </t>
    </r>
    <r>
      <rPr>
        <sz val="11"/>
        <color theme="1"/>
        <rFont val="Calibre"/>
      </rPr>
      <t>(up to 40 mm diameters) … Addressable clinical scenarios include:</t>
    </r>
  </si>
  <si>
    <t>Shorten procedure time and fluoroscopy exposure, reduce lab inventories (fewer microcatheters pulled for each case) and simplifies the learning curve for large‑vessel embolization because operators work through familiar diagnostic catheters rather than juggling coaxial systems</t>
  </si>
  <si>
    <t>PEN's ruby XL was not the first coil system to deliver coils through a diagnostic catheter without a coaxial microcatheter, but Ruby XL is the largest high-volume packing coil class</t>
  </si>
  <si>
    <t>From an industry perspective, newer aspiration‑based systems (PEN Lightning, NARI ClotTriever/FlowTriever) are driving a shift toward larger‑lumen catheters, simplified setup, and “no‑lytic” (tPA / drug assisted thrombectomy) strategies</t>
  </si>
  <si>
    <t>The use of larger "super-sized" bore catheters is associated with a higher aspiration force and improved clot retrieval efficacy</t>
  </si>
  <si>
    <t xml:space="preserve">For aspiration to work effectively, you need "flow ingestion" or the ability to suck the clot into the catheter using high-speed fluid flow … </t>
  </si>
  <si>
    <t>Elsesser and Penumbra have historically argued that 0.072" (1.83 mm) represents an optimal "sweet spot" for the Middle Cerebral Artery (MCA) balancing three critical factors that decline if lumen size goes larger:</t>
  </si>
  <si>
    <t>The Corking Effect:</t>
  </si>
  <si>
    <t>If a catheter is too large (e.g., "super bore" 0.088" in a 2.5mm vessel), it effectively seals the vessel like a cork … This completely stops blood flow …</t>
  </si>
  <si>
    <t>Studies and Penumbra's commentary suggest the optimal catheter-to-vessel diameter ratio is roughly 0.7 to 0.8 …  Exceeding this ratio creates a seal that reduces aspiration efficiency</t>
  </si>
  <si>
    <t>Trackability Trade-off:</t>
  </si>
  <si>
    <t>Enlarging the lumen generally requires stiffer walls to prevent collapse under vacuum … Ezperts have argued that "super bore" catheters sacrifice the flexibility needed to navigate tortuous anatomy ("trackability") to reach the clot in the first place</t>
  </si>
  <si>
    <t>Elsesser mentioned on a PEN conference call that enlarging catheter lumen improves aspiration force to a point … although simply maximizing lumen size yields diminishing returns due to the physics of fluid dynamics in the vasculature</t>
  </si>
  <si>
    <t>Without blood flow around the tip, the catheter acts like a static vacuum plug rather than a vacuum cleaner … It cannot "ingest" the clot because there is no fluid flow to sweep the thrombus into the mouth of the catheter</t>
  </si>
  <si>
    <t>IP protection serves as an additional moat … tangentially similar to pharma economics where new products with higher efficacy rate will cannibalize older offerings (this can happen from a single company releasing a flagship product to replace an older offering, or an innovative competitor that comes up with a new, even better offering than all competitors) … doctors only want to use "the best / safest" and what they're most comfortable using</t>
  </si>
  <si>
    <t>The industry as a whole seems to be moving away from TPA and invasive surgical approaches for minimally invasive aspiration and stent-triever procedures … Reference asirational thrombectomy investigation doc:</t>
  </si>
  <si>
    <t>Aspirational Thrombectomy Devices.docx</t>
  </si>
  <si>
    <t>Milli-Spinner Thrombectomy Device Report.docx</t>
  </si>
  <si>
    <t>Stanford's Zhao Lab and their Milli-Spinner project is something worth tracking … Novel thrombectomy offering in a preclinical stage … has potentiality to outpreform CAVT in neuro and peripheral cases … Could disrupt entire thrombectomy market … Reference doc:</t>
  </si>
  <si>
    <t>Q3'25 thrombectomy revenues reached $236.4 million, an increase of 15.9% year-over-year</t>
  </si>
  <si>
    <t>Q2'25 thrombectomy revenues reached $230.03 million, an increase of 13.1% year-over-year … some relief with the china business with a single, large volume order being placed through Genesis (the chinese joint partnership firm)</t>
  </si>
  <si>
    <t>Storm II trial results (released November of 2025) confirm the thesis that aspirational thrombectomy offers patients superior outcome when compared to utilizing tPAs alone</t>
  </si>
  <si>
    <t>It's now up to the sales team and PEN's clinical outreach team to leverage these study findings … ultimate goal is to drive change in hospital treatment procedures to use PEN products … doesn’t happen over night, but definitely a positive development</t>
  </si>
  <si>
    <r>
      <rPr>
        <b/>
        <sz val="11"/>
        <color theme="1"/>
        <rFont val="Calibre"/>
      </rPr>
      <t>Upcoming THUNDER trail reporting's</t>
    </r>
    <r>
      <rPr>
        <sz val="11"/>
        <color theme="1"/>
        <rFont val="Calibre"/>
      </rPr>
      <t xml:space="preserve"> for neuro thrombectomy will be incredibly important to track intimately ... The Company is required to give updates on the studies findings on </t>
    </r>
    <r>
      <rPr>
        <b/>
        <sz val="11"/>
        <color theme="1"/>
        <rFont val="Calibre"/>
      </rPr>
      <t xml:space="preserve">Sept. 23 2025 </t>
    </r>
  </si>
  <si>
    <t>Throughout the call Company Management continued to reiterate a preperation and underlying excitement for the kick off of Thunderbolt's commercial approval and rollout</t>
  </si>
  <si>
    <t xml:space="preserve">Management has stated revenue guidance for the year of 2025 to be between $1.375B to $1.381B </t>
  </si>
  <si>
    <r>
      <t xml:space="preserve">Follow-up commentary on THUNDER Clinical Trail from </t>
    </r>
    <r>
      <rPr>
        <b/>
        <sz val="11"/>
        <color theme="1"/>
        <rFont val="Calibre"/>
      </rPr>
      <t>Q3 Earnings Call:</t>
    </r>
  </si>
  <si>
    <t xml:space="preserve">As of October, The Company has submitted thorough responses to all the outstanding questions received from the FDA during the 510 review process … now in the stage where The Company addresses any final questions and provides required clarifications </t>
  </si>
  <si>
    <t>Managers reiterated - For obvious reasons, we'll be prudent in our discussion today about Thunderbolt. However, we remain excited about the prospect of introducing CVT to the neurovascular field</t>
  </si>
  <si>
    <t>Historically, new innovation has catalyzed the stroke market ... Optimistic that with the anticipated introduction of Thunderbolt, we'll see a similar dynamic play out in neuroembolization</t>
  </si>
  <si>
    <t>Travis Steed of BofA asked:</t>
  </si>
  <si>
    <t>"I'll start with Thunderbolt since it's topical ... It sounds like you're a lot closer to approval than you were. Assume nothing surprising with the FDA back and forth, how are you thinking about the product when it hits the market ... how much share you can take and when will investors see the data from Thunderbolt?"</t>
  </si>
  <si>
    <t>"Is there anything else you can share on the FDA process ... It would be helpful if you could provide insight into if the product will be approved by year end or into 2026</t>
  </si>
  <si>
    <t>Dave Barry is not mentioned (as he prefers) but was one of the first employees (quasi founder) … He has held a bunch of different roles in the business including head of marketing and operations</t>
  </si>
  <si>
    <t>A lot of nuances to that question ... Let me try to cover as much as possible. Let's start with the process and give a little additional color ... Then we can talk about a point in time of what happens subsequently. I know there's been a lot of thoughts around the timing of the approval</t>
  </si>
  <si>
    <r>
      <t>So I know in the past there's been comparables to products that have already been</t>
    </r>
    <r>
      <rPr>
        <b/>
        <sz val="11"/>
        <color theme="1"/>
        <rFont val="Calibre"/>
      </rPr>
      <t xml:space="preserve"> </t>
    </r>
    <r>
      <rPr>
        <sz val="11"/>
        <color theme="1"/>
        <rFont val="Calibre"/>
      </rPr>
      <t>on the market that have a history, that have, you know, safety information that the FDA sees and collects … all they're looking for is a new indication on the label … That's a different time period usually, and those can be shorter for products that aren't brand new</t>
    </r>
  </si>
  <si>
    <r>
      <t xml:space="preserve">I want to level set the process and the timing because there's some, I think, misunderstanding. </t>
    </r>
    <r>
      <rPr>
        <b/>
        <sz val="11"/>
        <color theme="1"/>
        <rFont val="Calibre"/>
      </rPr>
      <t>Thunderbolt is a brand new product</t>
    </r>
    <r>
      <rPr>
        <sz val="11"/>
        <color theme="1"/>
        <rFont val="Calibre"/>
      </rPr>
      <t>. It doesn't ... It's not already approved ...</t>
    </r>
    <r>
      <rPr>
        <b/>
        <sz val="11"/>
        <color theme="1"/>
        <rFont val="Calibre"/>
      </rPr>
      <t xml:space="preserve"> It's not just seeking a new indication </t>
    </r>
    <r>
      <rPr>
        <sz val="11"/>
        <color theme="1"/>
        <rFont val="Calibre"/>
      </rPr>
      <t xml:space="preserve">… </t>
    </r>
  </si>
  <si>
    <t>Those processes, at least in our experience with the neuro division, sometimes take a while. For example, this is not fundamentally different timing than our original Red72 silver label, which was an update on an existing product, but it was a new product with some, you know, new materials and so on</t>
  </si>
  <si>
    <t>It takes a while because the FDA and I applaud them for this, are incredibly thorough … So there's nothing about this process and timing that's out of the ordinary … we're feeling hopeful and optimistic</t>
  </si>
  <si>
    <t xml:space="preserve">For the first decade as a company, PEN has been valued based on it's top line growth … it's potential TAM and market penetration … </t>
  </si>
  <si>
    <t>Focus into the next decade should be placed on harvesting cashflows, and developing project ideas (through R&amp;D, internal VC, or M&amp;A) that will cement PEN as a formidably competitive Med-Tech operator… PEN is in a very unique position / cross-roads … BSX or ISRG</t>
  </si>
  <si>
    <t>We are ready to launch this product and excited about the work to come when we receive approval to do so … gotta have a little prudence until we have a clearance letter from giving you more sort of detail on that</t>
  </si>
  <si>
    <t xml:space="preserve">Current offerings are priced cheaper than competitors (NARI), with innovative products that grant future pricing power if management pulled the lever </t>
  </si>
  <si>
    <t xml:space="preserve">Why are PEN's products' priced cheaper than NARI's if they're superior? Are The Company's managers looking for penetration into targeted markets (budget constrained hospitals) over maximizing individual unit profitability?  </t>
  </si>
  <si>
    <t>Budget constrained also means firms with little budget slack, who have to plan out "experimental" equipment acquisitions more than a year out (lengthening sales cycle and customer ramp times)</t>
  </si>
  <si>
    <t>Follow-up commentary on pricing from Q1 Earnings Call:</t>
  </si>
  <si>
    <t>Elsesser made the following statement on pricing: "The larger question about raising price ... lots of companies we compete with are raising their prices in response to this moment in time [tariff insanity] and that's how they're seeing their growth. They're just saying my product now cost X and that is the growth. It's not volume growth, it's not market growth. In fact, in some of the cases, it's a decline but covered over by raising prices. That's something that hospitals are all talking about right now. I've been brought into some of those conversations, and it's -- everyone's hearing about it. We have not done that, and it provides us because we have lots of growth coming from volume, new cases. And that really does in times when things are tough, not doing that is a big deal and people remember that in a positive way for a long time. So I just wanted to make sure that was clear that we're not increasing our price</t>
  </si>
  <si>
    <t>That’s a boss move, and I respect managers positions in not "taking price" at this uncertain moment in time … Organic revenue and market share dominance is what I'm looking for... I believe pricing power is absolutely a lever that managers can pull in the future, but volume growth is organic (desirable) … The Company needs it’s entry/foot in the door to ramp customers (supported by consultative sales force)</t>
  </si>
  <si>
    <r>
      <rPr>
        <b/>
        <sz val="11"/>
        <color theme="1"/>
        <rFont val="Calibre"/>
      </rPr>
      <t>Penumbra is currently the only company with a commercially available, computer-assisted thrombectomy device in the United States market</t>
    </r>
    <r>
      <rPr>
        <sz val="11"/>
        <color theme="1"/>
        <rFont val="Calibre"/>
      </rPr>
      <t>. Their Lightning portfolio (including Lightning Flash, Lightning Bolt, and Lightning 7) and CAVT™ (Computer Assisted Vacuum Thrombectomy) platform integrate microprocessor technology and proprietary clot detection algorithms</t>
    </r>
  </si>
  <si>
    <t>These systems provide real-time audio-visual cues, modulate aspiration automatically, and help operators optimize clot removal while minimizing blood loss</t>
  </si>
  <si>
    <r>
      <rPr>
        <b/>
        <sz val="11"/>
        <color theme="1"/>
        <rFont val="Calibre"/>
      </rPr>
      <t>No other major competitors currently offer a thrombectomy device with embedded computer-assisting chips or real-time algorithmic clot detection</t>
    </r>
    <r>
      <rPr>
        <sz val="11"/>
        <color theme="1"/>
        <rFont val="Calibre"/>
      </rPr>
      <t xml:space="preserve"> as part of their marketed systems in the US</t>
    </r>
  </si>
  <si>
    <t>Most competitors still use traditional mechanical, aspiration, or stent retriever-based thrombectomy methods without integrated computer guidance</t>
  </si>
  <si>
    <r>
      <t xml:space="preserve">Reliance on thrombectomy growth could be a headwind for equity valuation in the future … </t>
    </r>
    <r>
      <rPr>
        <b/>
        <sz val="11"/>
        <color theme="1"/>
        <rFont val="Calibre"/>
      </rPr>
      <t>how will management allocate presently generated cash flows?</t>
    </r>
    <r>
      <rPr>
        <sz val="11"/>
        <color theme="1"/>
        <rFont val="Calibre"/>
      </rPr>
      <t xml:space="preserve"> (</t>
    </r>
    <r>
      <rPr>
        <b/>
        <sz val="11"/>
        <color theme="1"/>
        <rFont val="Calibre"/>
      </rPr>
      <t>theory being allocate cash flows from current geyser into investments that will develop into potential future geysers,</t>
    </r>
    <r>
      <rPr>
        <sz val="11"/>
        <color theme="1"/>
        <rFont val="Calibre"/>
      </rPr>
      <t xml:space="preserve"> similar to Big Tech and their "long shot shops")</t>
    </r>
  </si>
  <si>
    <r>
      <rPr>
        <b/>
        <sz val="11"/>
        <color theme="1"/>
        <rFont val="Calibre"/>
      </rPr>
      <t>We as capital managers are searching for vehicles to park invested capital</t>
    </r>
    <r>
      <rPr>
        <sz val="11"/>
        <color theme="1"/>
        <rFont val="Calibre"/>
      </rPr>
      <t xml:space="preserve"> (initial CapEx input cost + operating costs to develop) </t>
    </r>
    <r>
      <rPr>
        <b/>
        <sz val="11"/>
        <color theme="1"/>
        <rFont val="Calibre"/>
      </rPr>
      <t>which will generate outsized returns for shareholders in the future</t>
    </r>
  </si>
  <si>
    <r>
      <t>As stated in the business overview section: "</t>
    </r>
    <r>
      <rPr>
        <b/>
        <sz val="11"/>
        <color theme="1"/>
        <rFont val="Calibre"/>
      </rPr>
      <t>Generally, when introducing a next generation product or a new product designed to replace a current product, sales of the earlier generation product or the product replaced decline</t>
    </r>
    <r>
      <rPr>
        <sz val="11"/>
        <color theme="1"/>
        <rFont val="Calibre"/>
      </rPr>
      <t>"</t>
    </r>
  </si>
  <si>
    <r>
      <rPr>
        <b/>
        <sz val="11"/>
        <color theme="1"/>
        <rFont val="Calibre"/>
      </rPr>
      <t>Similar to BioPharma, economic returns decline once a treatment option "goes generic,"</t>
    </r>
    <r>
      <rPr>
        <sz val="11"/>
        <color theme="1"/>
        <rFont val="Calibre"/>
      </rPr>
      <t xml:space="preserve"> or a newer, more effective form of treatment is developed/commercialized</t>
    </r>
  </si>
  <si>
    <t>Ruby XL's release has had an immediate impact on E&amp;A growth … impressive … will be important to track rollout and any management commentary in the coming quarters</t>
  </si>
  <si>
    <r>
      <rPr>
        <b/>
        <sz val="11"/>
        <color theme="1"/>
        <rFont val="Calibre"/>
      </rPr>
      <t xml:space="preserve">Potentially mature market/technologies, or is the firm loosing market share to competitors??? </t>
    </r>
    <r>
      <rPr>
        <sz val="11"/>
        <color theme="1"/>
        <rFont val="Calibre"/>
      </rPr>
      <t xml:space="preserve">Why has E&amp;A flatlined if we remove Ruby XL? </t>
    </r>
  </si>
  <si>
    <r>
      <rPr>
        <b/>
        <sz val="11"/>
        <color theme="1"/>
        <rFont val="Calibre"/>
      </rPr>
      <t xml:space="preserve">Embolization &amp; Access revenues had been plateauing but </t>
    </r>
    <r>
      <rPr>
        <sz val="11"/>
        <color theme="1"/>
        <rFont val="Calibre"/>
      </rPr>
      <t>the segment bounced this last year do to the successful commercial roll-out of RubyXL</t>
    </r>
  </si>
  <si>
    <t>Q2'25 Embo &amp; Access revenues reached $109 million, an increase of 13.7% year-over-year</t>
  </si>
  <si>
    <t>Q3'25 Embo &amp; Access revenues reached $118 million, an increase of 22.1% year-over-year</t>
  </si>
  <si>
    <t xml:space="preserve">Q1'25 Embo &amp; Access revenues reached $97 million, an increase of 7.2% year-over-year … primarily driven by U.S. growth … Wow! Big rip / directional shift due to Ruby XL initial success … expedited RubyXL commercialization had a negative impact on margins, but should rebound as yield rate improve </t>
  </si>
  <si>
    <r>
      <t xml:space="preserve">Follow-up commentary on Embolization Growth from </t>
    </r>
    <r>
      <rPr>
        <b/>
        <sz val="11"/>
        <color theme="1"/>
        <rFont val="Calibre"/>
      </rPr>
      <t>Q1 Earnings Call</t>
    </r>
    <r>
      <rPr>
        <sz val="11"/>
        <color theme="1"/>
        <rFont val="Calibre"/>
      </rPr>
      <t>:</t>
    </r>
  </si>
  <si>
    <r>
      <t xml:space="preserve">Follow-up commentary on Embolization Growth from </t>
    </r>
    <r>
      <rPr>
        <b/>
        <sz val="11"/>
        <color theme="1"/>
        <rFont val="Calibre"/>
      </rPr>
      <t>Q2 Earnings Call</t>
    </r>
    <r>
      <rPr>
        <sz val="11"/>
        <color theme="1"/>
        <rFont val="Calibre"/>
      </rPr>
      <t>:</t>
    </r>
  </si>
  <si>
    <r>
      <t xml:space="preserve">Follow-up commentary on Embolization Growth from </t>
    </r>
    <r>
      <rPr>
        <b/>
        <sz val="11"/>
        <color theme="1"/>
        <rFont val="Calibre"/>
      </rPr>
      <t>Q3 Earnings Call</t>
    </r>
    <r>
      <rPr>
        <sz val="11"/>
        <color theme="1"/>
        <rFont val="Calibre"/>
      </rPr>
      <t>:</t>
    </r>
  </si>
  <si>
    <t>Dedicated Embo team created … focused solely on a lean embo portfolio sprearheaded by RubyXL</t>
  </si>
  <si>
    <t>Management complimented the rapid initial success of the dedicated sales team</t>
  </si>
  <si>
    <t xml:space="preserve">Curious to see Fidelity as the largest shareholder … </t>
  </si>
  <si>
    <t>Spread across multiple funds and accounts the firm manages, rather than a single entity holding all the shares (similar to Vanguard or Blackrock)</t>
  </si>
  <si>
    <t>On a final note … I think Penumbra is going to be a big company … but Managers should give time to contemplate on what kind of big company it will grow into … Will the company grow into the next ISRG … SYK … BSX ?</t>
  </si>
  <si>
    <t xml:space="preserve">Robotic surgery capabilities from a programable platform like the Da Vinci machine has a much greater TAM than CAVT in its current form … but can the underlying technology be leveraged into "the next big thing"? </t>
  </si>
  <si>
    <t>The Company has introduced multiple sizes of catheters for use in both the peripheral and coronary vasculature</t>
  </si>
  <si>
    <t>Computer Assisted Vacuum Thrombectomy (Powered by an ASIC)</t>
  </si>
  <si>
    <t>CAVT Overview</t>
  </si>
  <si>
    <t>Computer Assisted Vacuum Thrombectomy (CAVT) Technology combines The Company's CAT Catheters with microprocessor-controlled software algorithms that orchestrate the interaction of Penumbra's pump and catheters, enabling physicians to focus on optimizing thrombus removal while helping to mitigate blood loss for arterial and venous applications including the treatment of pulmonary embolism</t>
  </si>
  <si>
    <t>Computer Assisted Vacuum Thrombectomy (CAVT) is a proprietary technology developed by Penumbra, primarily integrated into their Lightning Flash (venous/PE) and Lightning Bolt (arterial) catheter systems</t>
  </si>
  <si>
    <t>Unlike standard "dumb" suction catheters, CAVT utilizes an "intelligent" aspiration unit that sits between the vacuum source (Penumbra ENGINE) and the catheter</t>
  </si>
  <si>
    <t>The core leap/improvement of CAVT is its ability to differentiate between thrombus (clot) and patent blood flow in real-time … CAVT achieves this using dual algorithms:</t>
  </si>
  <si>
    <t>Pressure-based algorithm: Detects changes in vacuum pressure at the catheter tip</t>
  </si>
  <si>
    <t>Flow-based algorithm: Monitors the rate of fluid moving through the tubing</t>
  </si>
  <si>
    <t>Blood Conservation: When the system detects patent blood flow (no clot), it automatically modulates the valve to "intermittent" mode (sampling), reducing blood loss by up to 3-4x compared to continuous manual aspiration</t>
  </si>
  <si>
    <t xml:space="preserve">Procedural Feedback: The system provides audio-visual cues (lights and audible sound) to the physician using the device ... A rapid ticking sound indicates the catheter is engaging clot (high vacuum applied), while a slower pace indicates patent flow </t>
  </si>
  <si>
    <t>This provides healthcare providers with audiovisual feedback through the device ... allows physicians to navigate blindly or with less fluoroscopy without draining the patient of blood like a vampire … the point is to clear clots to restore flow, not entirely drain the patient of blood</t>
  </si>
  <si>
    <t>Clinical Outcomes (STRIKE-PE, STORM-PE): In the interim analysis of the STRIKE-PE study CAVT demonstrated a low major adverse event (MAE) rate of 2.7% at 48 hours and a significant 26.8% improvement in RV/LV ratio (a key metric of heart strain in pulmonary embolism)</t>
  </si>
  <si>
    <t>Algorithms developed by Penumbra’s software team for the company’s continuous aspiration catheters are a key part of the solution … The software controls a valve in the tubing for constant or intermittent suction control</t>
  </si>
  <si>
    <r>
      <t xml:space="preserve">Penumbra's </t>
    </r>
    <r>
      <rPr>
        <b/>
        <sz val="11"/>
        <color theme="1"/>
        <rFont val="Calibre"/>
      </rPr>
      <t>Thunderbolt offering</t>
    </r>
    <r>
      <rPr>
        <sz val="11"/>
        <color theme="1"/>
        <rFont val="Calibre"/>
      </rPr>
      <t xml:space="preserve"> - Cutting edge mechanical device used for treating Ischemic Stroke</t>
    </r>
  </si>
  <si>
    <t>2nd: Determines if the catheter tip is occluded (clot) or open (blood)</t>
  </si>
  <si>
    <t>1st: Microprocessor reads vacuum pressure data and flow rate 1,000+ times per second to sense for clot contact</t>
  </si>
  <si>
    <t>3rd: Opens the valve for continuous max vacuum (clot engaged) or continues in search through pulsing the valve (open flow) in order to reduce patient blood loss</t>
  </si>
  <si>
    <t>4th: Upon contact the microchip notifies the physician through an audiovisual que, informing the surgeon of the state of the occluded vessel</t>
  </si>
  <si>
    <t>This process functionally allows the catheter to "feel out" the clot as it navigates through the patients vasculature ... "sipping" blood in controlled intervals until contact is made and a vacuum is created, which then initiates the full power of Penumbra Engine's aspiration force</t>
  </si>
  <si>
    <t xml:space="preserve">The MCU executes a control loop … </t>
  </si>
  <si>
    <t>CAVT is powered by a high preformance microcontroller unit (MCU) - which runs proprietary algorithms developed by engineers within Penumbra … Not an ASIC chip, the value lies in the software</t>
  </si>
  <si>
    <t>The MCU acts as the "brain" of the Lightning tubing unit ... It functions to read data received from pressure sensors embedded in the tubing, and then control a mechanized valve to aspirate when in contact with a clot</t>
  </si>
  <si>
    <t>Investigate supplier for the chip/MCU … are there suppliers who specialize in medical device integrated circuits/MCUs</t>
  </si>
  <si>
    <t xml:space="preserve">After further analysis … MCUs are commodity components (most likely sourced from TXN or STM) … the value is in the proprietary code that translates pressure readings into valve actions without latency … </t>
  </si>
  <si>
    <t>The software component of the equation is what allows Penumbra to update the "Bolt" or "Flash" software versions without wholly redesigning the silicon chip upon each new iteration</t>
  </si>
  <si>
    <t>An Optimal Ratio:</t>
  </si>
  <si>
    <t>CAVT serves as a revolutionary technology ... drives minimization of patient blood loss while maximizing clot removal efficiency in a surgeon's hands … Standard aspiration is binary (on or off); if the catheter tip slips off the clot, it rapidly aspirates healthy blood (think NARI flowtriever horrorshows)</t>
  </si>
  <si>
    <t>Penumbra has a robust Intellectual Property moat around the application of this technology</t>
  </si>
  <si>
    <t xml:space="preserve">While The Company does not have completely exclusive rights to put MCUs in thrombectomy devices, Penumbra holds specific patents on "methods for differentiating thrombus from blood using pressure sensors" and "systems for modulated aspiration" </t>
  </si>
  <si>
    <t>This IP moat (mainly pertaining to The Company's Software) was upheld when Penumbra successfully invalidated a key competitor's patent … Investigate RapidPulse court findings</t>
  </si>
  <si>
    <t>Penumbra is currently the only major medical device firm with a fully "computer-aided" thrombectomy system … currently only approved for cardio and peripheral, but will expand CAVT label to neuro with Thunderbolt introduction</t>
  </si>
  <si>
    <t>Competitors like NARI's FlowTriever rely on "mechanical" moats - large bore catheters (24F+) - and physical mesh disks to grab clots … Legacy approaches to thrombectomy in comparison to CAVT</t>
  </si>
  <si>
    <t>Inari's systems are "manual" (the doctor controls the syringe/suction), which relies on physician skill to avoid blood loss</t>
  </si>
  <si>
    <t xml:space="preserve">Investigate NARI short reports </t>
  </si>
  <si>
    <t>Additional research created during the STORM PE clinical trial put on by The Company indicates superiority of CAVT over TPAs alone … Generating findings such as this is key to drive changes in hospital patient procedures and for adoption of PEN products</t>
  </si>
  <si>
    <t xml:space="preserve">Modeling out inventory scenarios explicitly may reveal upside or uncover potentially hidden risks ... Inventories are the line item to watch for on the balance sheet, and requires further analysis on my end. </t>
  </si>
  <si>
    <t xml:space="preserve">Inventories are manufactured in batches on a medically sterile factory line of sorts … akin to an incredibly diligent cookie bakery </t>
  </si>
  <si>
    <t>Capital Structure</t>
  </si>
  <si>
    <t>Mkt Cap</t>
  </si>
  <si>
    <t>Debt to Ttl Mkt Cap</t>
  </si>
  <si>
    <t>Mkt Equity to Ttl Mkt Cap</t>
  </si>
  <si>
    <t>Debt / Equity</t>
  </si>
  <si>
    <t>Cost of Equity</t>
  </si>
  <si>
    <t>Market Return(1-year avg.)</t>
  </si>
  <si>
    <t xml:space="preserve">Cost of Equity </t>
  </si>
  <si>
    <t>Cost of Debt</t>
  </si>
  <si>
    <t>Tax Rate</t>
  </si>
  <si>
    <t>After Tax Cost of Debt</t>
  </si>
  <si>
    <t>WACC</t>
  </si>
  <si>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</si>
  <si>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</si>
  <si>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</si>
  <si>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</si>
  <si>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</si>
  <si>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</si>
  <si>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</si>
  <si>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</si>
  <si>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</si>
  <si>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</si>
  <si>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</si>
  <si>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</si>
  <si>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</si>
  <si>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</si>
  <si>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</si>
  <si>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</si>
  <si>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</si>
  <si>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</si>
  <si>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</si>
  <si>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</si>
  <si>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</si>
  <si>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</si>
  <si>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</si>
  <si>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</si>
  <si>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</si>
  <si>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</si>
  <si>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</si>
  <si>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</si>
  <si>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</si>
  <si>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</si>
  <si>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</si>
  <si>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</si>
  <si>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</si>
  <si>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</si>
  <si>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</si>
  <si>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</si>
  <si>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</si>
  <si>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</si>
  <si>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</si>
  <si>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</si>
  <si>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</si>
  <si>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</si>
  <si>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</si>
  <si>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</si>
  <si>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</si>
  <si>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</si>
  <si>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</si>
  <si>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</si>
  <si>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</si>
  <si>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</si>
  <si>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</si>
  <si>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</si>
  <si>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</si>
  <si>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</si>
  <si>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</si>
  <si>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</si>
  <si>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</si>
  <si>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</si>
  <si>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</si>
  <si>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</si>
  <si>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</si>
  <si>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</si>
  <si>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</si>
  <si>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</si>
  <si>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</si>
  <si>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</si>
  <si>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</si>
  <si>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</si>
  <si>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</si>
  <si>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</si>
  <si>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</si>
  <si>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</si>
  <si>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</si>
  <si>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</si>
  <si>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</si>
  <si>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</si>
  <si>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</si>
  <si>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</si>
  <si>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</si>
  <si>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</si>
  <si>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</si>
  <si>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</si>
  <si>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</si>
  <si>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</si>
  <si>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</si>
  <si>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</si>
  <si>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</si>
  <si>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</si>
  <si>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</si>
  <si>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</si>
  <si>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</si>
  <si>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</si>
  <si>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</si>
  <si>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</si>
  <si>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</si>
  <si>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</si>
  <si>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</si>
  <si>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</si>
  <si>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</si>
  <si>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</si>
  <si>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</si>
  <si>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</si>
  <si>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</si>
  <si>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</si>
  <si>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</si>
  <si>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</si>
  <si>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</si>
  <si>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</si>
  <si>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</si>
  <si>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</si>
  <si>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</si>
  <si>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</si>
  <si>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</si>
  <si>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</si>
  <si>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</si>
  <si>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</si>
  <si>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</si>
  <si>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</si>
  <si>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</si>
  <si>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</si>
  <si>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</si>
  <si>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</si>
  <si>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</si>
  <si>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</si>
  <si>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</si>
  <si>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</si>
  <si>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</si>
  <si>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</si>
  <si>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</si>
  <si>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</si>
  <si>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</si>
  <si>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</si>
  <si>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</si>
  <si>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</si>
  <si>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</si>
  <si>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</si>
  <si>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</si>
  <si>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</si>
  <si>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</si>
  <si>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</si>
  <si>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</si>
  <si>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</si>
  <si>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</si>
  <si>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</si>
  <si>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</si>
  <si>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</si>
  <si>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</si>
  <si>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</si>
  <si>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</si>
  <si>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</si>
  <si>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</si>
  <si>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</si>
  <si>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</si>
  <si>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</si>
  <si>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</si>
  <si>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</si>
  <si>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</si>
  <si>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</si>
  <si>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</si>
  <si>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</si>
  <si>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</si>
  <si>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</si>
  <si>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</si>
  <si>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</si>
  <si>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</si>
  <si>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</si>
  <si>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</si>
  <si>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</si>
  <si>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</si>
  <si>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</si>
  <si>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</si>
  <si>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</si>
  <si>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</si>
  <si>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</si>
  <si>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</si>
  <si>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</si>
  <si>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</si>
  <si>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</si>
  <si>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</si>
  <si>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</si>
  <si>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</si>
  <si>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</si>
  <si>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</si>
  <si>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</si>
  <si>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</si>
  <si>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</si>
  <si>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</si>
  <si>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</si>
  <si>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</si>
  <si>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</si>
  <si>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</si>
  <si>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</si>
  <si>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</si>
  <si>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</si>
  <si>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</si>
  <si>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</si>
  <si>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</si>
  <si>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</si>
  <si>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</si>
  <si>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</si>
  <si>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Avg. (2023-2024)</t>
  </si>
  <si>
    <t>Fiscal Year: [January - December]</t>
  </si>
  <si>
    <r>
      <t xml:space="preserve">the </t>
    </r>
    <r>
      <rPr>
        <b/>
        <sz val="11"/>
        <color theme="1"/>
        <rFont val="Calibre"/>
      </rPr>
      <t>Immersive</t>
    </r>
    <r>
      <rPr>
        <sz val="11"/>
        <color theme="1"/>
        <rFont val="Calibre"/>
      </rPr>
      <t xml:space="preserve"> </t>
    </r>
    <r>
      <rPr>
        <b/>
        <sz val="11"/>
        <color theme="1"/>
        <rFont val="Calibre"/>
      </rPr>
      <t>Healthcare</t>
    </r>
    <r>
      <rPr>
        <sz val="11"/>
        <color theme="1"/>
        <rFont val="Calibre"/>
      </rPr>
      <t xml:space="preserve"> market (entered 2020, </t>
    </r>
    <r>
      <rPr>
        <b/>
        <sz val="11"/>
        <color theme="1"/>
        <rFont val="Calibre"/>
      </rPr>
      <t>divested September 2024</t>
    </r>
    <r>
      <rPr>
        <sz val="11"/>
        <color theme="1"/>
        <rFont val="Calibre"/>
      </rPr>
      <t xml:space="preserve">) &lt;-- Decision to wind down and exit the Immersive Healthcare business, and as a result, incurred a $115.3 million impairment charge at year-end </t>
    </r>
  </si>
  <si>
    <t>10/72026</t>
  </si>
  <si>
    <t>Q2'26</t>
  </si>
  <si>
    <t>Avg. (2024-2025)</t>
  </si>
  <si>
    <t>2024-2025</t>
  </si>
  <si>
    <t>Gross margin expanded to 66.7%, driven by favorable thrombectomy product mix and productivity improvements</t>
  </si>
  <si>
    <t>IPO: September 18, 2015 -- $895M valuation … Secondary offering May 27, 2020, 1 week after NARIs 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</si>
</sst>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0_);_(* \(#,##0.0\);_(* &quot;-&quot;??_);_(@_)"/>
    <numFmt numFmtId="167" formatCode="_(* #,##0_);_(* \(#,##0\);_(* &quot;-&quot;??_);_(@_)"/>
  </numFmts>
  <fonts count="26">
    <font>
      <sz val="11"/>
      <color theme="1"/>
      <name val="Calibri"/>
      <family val="2"/>
      <scheme val="minor"/>
    </font>
    <font>
      <b/>
      <sz val="11"/>
      <color theme="1"/>
      <name val="Calibre"/>
    </font>
    <font>
      <sz val="11"/>
      <color theme="1"/>
      <name val="Calibre"/>
    </font>
    <font>
      <b/>
      <sz val="10"/>
      <name val="Calibre"/>
    </font>
    <font>
      <sz val="11"/>
      <color theme="0"/>
      <name val="Calibre"/>
    </font>
    <font>
      <b/>
      <sz val="11"/>
      <color theme="0"/>
      <name val="Calibre"/>
    </font>
    <font>
      <u/>
      <sz val="11"/>
      <color theme="10"/>
      <name val="Calibri"/>
      <family val="2"/>
      <scheme val="minor"/>
    </font>
    <font>
      <sz val="11"/>
      <color rgb="FF000000"/>
      <name val="Calibre"/>
    </font>
    <font>
      <b/>
      <sz val="11"/>
      <color rgb="FF000000"/>
      <name val="Calibre"/>
    </font>
    <font>
      <sz val="10"/>
      <name val="Calibre"/>
    </font>
    <font>
      <b/>
      <sz val="11"/>
      <name val="Calibre"/>
    </font>
    <font>
      <sz val="11"/>
      <name val="Calibre"/>
    </font>
    <font>
      <sz val="11"/>
      <color rgb="FF00B0F0"/>
      <name val="Calibre"/>
    </font>
    <font>
      <u/>
      <sz val="11"/>
      <color rgb="FF00B0F0"/>
      <name val="Calibre"/>
    </font>
    <font>
      <i/>
      <sz val="11"/>
      <color theme="1"/>
      <name val="Calibre"/>
    </font>
    <font>
      <sz val="11"/>
      <color theme="1"/>
      <name val="Calibri"/>
      <family val="2"/>
      <scheme val="minor"/>
    </font>
    <font>
      <sz val="11"/>
      <color rgb="FF0070C0"/>
      <name val="Calibre"/>
    </font>
    <font>
      <b/>
      <sz val="11"/>
      <color rgb="FF0070C0"/>
      <name val="Calibre"/>
    </font>
    <font>
      <i/>
      <sz val="11"/>
      <color rgb="FF0070C0"/>
      <name val="Calibre"/>
    </font>
    <font>
      <u/>
      <sz val="11"/>
      <color theme="10"/>
      <name val="Calibre"/>
    </font>
    <font>
      <b/>
      <i/>
      <sz val="11"/>
      <color theme="1"/>
      <name val="Calibre"/>
    </font>
    <font>
      <u/>
      <sz val="11"/>
      <color rgb="FF00B0F0"/>
      <name val="Calibri"/>
      <family val="2"/>
      <scheme val="minor"/>
    </font>
    <font>
      <sz val="11"/>
      <color theme="4" tint="-0.249977111117893"/>
      <name val="Calibre"/>
    </font>
    <font>
      <b/>
      <u/>
      <sz val="11"/>
      <color theme="1"/>
      <name val="Calibre"/>
    </font>
    <font>
      <b/>
      <sz val="10"/>
      <name val="Arial"/>
      <family val="2"/>
    </font>
    <font>
      <sz val="10"/>
      <name val="Arial"/>
      <family val="2"/>
    </font>
  </fonts>
  <fills count="15">
    <fill>
      <patternFill patternType="none"/>
    </fill>
    <fill>
      <patternFill patternType="gray125"/>
    </fill>
    <fill>
      <patternFill patternType="solid">
        <fgColor rgb="FFF5F5F5"/>
      </patternFill>
    </fill>
    <fill>
      <patternFill patternType="solid">
        <fgColor rgb="FF002060"/>
        <bgColor indexed="64"/>
      </patternFill>
    </fill>
    <fill>
      <patternFill patternType="solid">
        <fgColor theme="3" tint="0.249977111117893"/>
        <bgColor indexed="64"/>
      </patternFill>
    </fill>
    <fill>
      <patternFill patternType="solid">
        <fgColor rgb="FF990000"/>
        <bgColor indexed="64"/>
      </patternFill>
    </fill>
    <fill>
      <patternFill patternType="solid">
        <fgColor rgb="FFFCD8D8"/>
        <bgColor indexed="64"/>
      </patternFill>
    </fill>
    <fill>
      <patternFill patternType="solid">
        <fgColor rgb="FFFF33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145398"/>
        <bgColor indexed="64"/>
      </patternFill>
    </fill>
    <fill>
      <patternFill patternType="solid">
        <fgColor rgb="FF00B050"/>
        <bgColor indexed="64"/>
      </patternFill>
    </fill>
    <fill>
      <patternFill patternType="solid">
        <fgColor theme="6" tint="0.39997558519241921"/>
        <bgColor theme="4" tint="0.79998168889431442"/>
      </patternFill>
    </fill>
    <fill>
      <patternFill patternType="solid">
        <fgColor theme="8" tint="0.79998168889431442"/>
        <bgColor indexed="64"/>
      </patternFill>
    </fill>
    <fill>
      <patternFill patternType="solid">
        <fgColor rgb="FFFFFF00"/>
        <bgColor indexed="64"/>
      </patternFill>
    </fill>
  </fills>
  <borders count="3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thin">
        <color theme="4" tint="0.39997558519241921"/>
      </top>
      <bottom style="thin">
        <color theme="4" tint="0.39997558519241921"/>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top style="thin">
        <color theme="4" tint="0.39997558519241921"/>
      </top>
      <bottom/>
      <diagonal/>
    </border>
    <border>
      <left style="thin">
        <color indexed="64"/>
      </left>
      <right style="thin">
        <color indexed="64"/>
      </right>
      <top style="thin">
        <color indexed="64"/>
      </top>
      <bottom/>
      <diagonal/>
    </border>
    <border>
      <left style="thin">
        <color indexed="64"/>
      </left>
      <right/>
      <top/>
      <bottom style="thin">
        <color theme="4" tint="0.39997558519241921"/>
      </bottom>
      <diagonal/>
    </border>
    <border>
      <left/>
      <right/>
      <top/>
      <bottom style="thin">
        <color theme="4" tint="0.39997558519241921"/>
      </bottom>
      <diagonal/>
    </border>
    <border>
      <left/>
      <right style="thin">
        <color indexed="64"/>
      </right>
      <top/>
      <bottom style="thin">
        <color theme="4" tint="0.39997558519241921"/>
      </bottom>
      <diagonal/>
    </border>
  </borders>
  <cellStyleXfs count="4">
    <xf numFmtId="0" fontId="0" fillId="0" borderId="0"/>
    <xf numFmtId="0" fontId="6" fillId="0" borderId="0" applyNumberFormat="0" applyFill="0" applyBorder="0" applyAlignment="0" applyProtection="0"/>
    <xf numFmtId="9" fontId="15" fillId="0" borderId="0" applyFont="0" applyFill="0" applyBorder="0" applyAlignment="0" applyProtection="0"/>
    <xf numFmtId="43" fontId="15" fillId="0" borderId="0" applyFont="0" applyFill="0" applyBorder="0" applyAlignment="0" applyProtection="0"/>
  </cellStyleXfs>
  <cellXfs count="442">
    <xf numFmtId="0" fontId="0" fillId="0" borderId="0" xfId="0"/>
    <xf numFmtId="0" fontId="1" fillId="0" borderId="0" xfId="0" applyFont="1"/>
    <xf numFmtId="0" fontId="2" fillId="0" borderId="0" xfId="0" applyFont="1"/>
    <xf numFmtId="0" fontId="5" fillId="3" borderId="9" xfId="0" applyFont="1" applyFill="1" applyBorder="1"/>
    <xf numFmtId="0" fontId="5" fillId="3" borderId="10" xfId="0" applyFont="1" applyFill="1" applyBorder="1"/>
    <xf numFmtId="0" fontId="5" fillId="3" borderId="1" xfId="0" applyFont="1" applyFill="1" applyBorder="1"/>
    <xf numFmtId="0" fontId="5" fillId="3" borderId="2" xfId="0" applyFont="1" applyFill="1" applyBorder="1"/>
    <xf numFmtId="0" fontId="5" fillId="3" borderId="11" xfId="0" applyFont="1" applyFill="1" applyBorder="1" applyAlignment="1">
      <alignment horizontal="right"/>
    </xf>
    <xf numFmtId="0" fontId="5" fillId="3" borderId="10" xfId="0" applyFont="1" applyFill="1" applyBorder="1" applyAlignment="1">
      <alignment horizontal="right"/>
    </xf>
    <xf numFmtId="0" fontId="6" fillId="0" borderId="0" xfId="1"/>
    <xf numFmtId="0" fontId="19" fillId="0" borderId="0" xfId="1" applyFont="1"/>
    <xf numFmtId="0" fontId="2" fillId="0" borderId="0" xfId="0" applyFont="1" applyAlignment="1">
      <alignment horizontal="left" vertical="top" wrapText="1"/>
    </xf>
    <xf numFmtId="0" fontId="2" fillId="0" borderId="0" xfId="0" applyFont="1" applyAlignment="1">
      <alignment horizontal="left" wrapText="1"/>
    </xf>
    <xf numFmtId="0" fontId="2" fillId="0" borderId="0" xfId="0" applyFont="1" applyAlignment="1">
      <alignment vertical="top" wrapText="1"/>
    </xf>
    <xf numFmtId="0" fontId="5" fillId="3" borderId="11" xfId="0" applyFont="1" applyFill="1" applyBorder="1"/>
    <xf numFmtId="0" fontId="5" fillId="3" borderId="2" xfId="0" applyFont="1" applyFill="1" applyBorder="1" applyAlignment="1">
      <alignment horizontal="right"/>
    </xf>
    <xf numFmtId="0" fontId="5" fillId="4" borderId="7" xfId="0" applyFont="1" applyFill="1" applyBorder="1" applyAlignment="1">
      <alignment horizontal="left"/>
    </xf>
    <xf numFmtId="0" fontId="2" fillId="0" borderId="0" xfId="0" applyFont="1" applyAlignment="1">
      <alignment wrapText="1"/>
    </xf>
    <xf numFmtId="0" fontId="5" fillId="3" borderId="9" xfId="0" applyFont="1" applyFill="1" applyBorder="1" applyAlignment="1">
      <alignment horizontal="left"/>
    </xf>
    <xf numFmtId="0" fontId="2" fillId="0" borderId="0" xfId="0" applyFont="1" applyAlignment="1">
      <alignment vertical="top"/>
    </xf>
    <xf numFmtId="0" fontId="2" fillId="0" borderId="0" xfId="0" applyFont="1" applyAlignment="1">
      <alignment horizontal="left" vertical="top"/>
    </xf>
    <xf numFmtId="0" fontId="1" fillId="0" borderId="0" xfId="0" applyFont="1" applyAlignment="1">
      <alignment vertical="top"/>
    </xf>
    <xf numFmtId="0" fontId="13" fillId="0" borderId="0" xfId="1" applyFont="1" applyAlignment="1">
      <alignment vertical="top"/>
    </xf>
    <xf numFmtId="0" fontId="2" fillId="0" borderId="0" xfId="0" applyFont="1" applyAlignment="1">
      <alignment horizontal="right" vertical="top"/>
    </xf>
    <xf numFmtId="49" fontId="2" fillId="0" borderId="0" xfId="0" applyNumberFormat="1" applyFont="1" applyAlignment="1">
      <alignment vertical="top"/>
    </xf>
    <xf numFmtId="0" fontId="2" fillId="0" borderId="0" xfId="0" applyFont="1" applyAlignment="1">
      <alignment horizontal="center" vertical="top"/>
    </xf>
    <xf numFmtId="0" fontId="19" fillId="0" borderId="0" xfId="1" applyFont="1" applyAlignment="1">
      <alignment vertical="top"/>
    </xf>
    <xf numFmtId="0" fontId="5" fillId="4" borderId="1" xfId="0" applyFont="1" applyFill="1" applyBorder="1" applyAlignment="1">
      <alignment horizontal="left" vertical="center"/>
    </xf>
    <xf numFmtId="0" fontId="5" fillId="4" borderId="4" xfId="0" applyFont="1" applyFill="1" applyBorder="1" applyAlignment="1">
      <alignment horizontal="left" vertical="center"/>
    </xf>
    <xf numFmtId="0" fontId="5" fillId="4" borderId="6" xfId="0" applyFont="1" applyFill="1" applyBorder="1" applyAlignment="1">
      <alignment horizontal="left" vertical="center"/>
    </xf>
    <xf numFmtId="0" fontId="5" fillId="4" borderId="0" xfId="0" applyFont="1" applyFill="1" applyAlignment="1">
      <alignment horizontal="left" vertical="center"/>
    </xf>
    <xf numFmtId="0" fontId="5" fillId="4" borderId="5" xfId="0" applyFont="1" applyFill="1" applyBorder="1" applyAlignment="1">
      <alignment horizontal="left" vertical="center"/>
    </xf>
    <xf numFmtId="0" fontId="5" fillId="4" borderId="7" xfId="0" applyFont="1" applyFill="1" applyBorder="1"/>
    <xf numFmtId="0" fontId="5" fillId="4" borderId="6" xfId="0" applyFont="1" applyFill="1" applyBorder="1" applyAlignment="1">
      <alignment vertical="center"/>
    </xf>
    <xf numFmtId="0" fontId="1" fillId="0" borderId="0" xfId="0" applyFont="1" applyAlignment="1">
      <alignment horizontal="left" vertical="top"/>
    </xf>
    <xf numFmtId="0" fontId="19" fillId="0" borderId="0" xfId="1" applyFont="1" applyAlignment="1">
      <alignment horizontal="left" vertical="top"/>
    </xf>
    <xf numFmtId="0" fontId="13" fillId="0" borderId="0" xfId="1" applyFont="1"/>
    <xf numFmtId="0" fontId="23" fillId="0" borderId="0" xfId="0" applyFont="1" applyAlignment="1">
      <alignment horizontal="left" vertical="top"/>
    </xf>
    <xf numFmtId="0" fontId="5" fillId="4" borderId="0" xfId="0" applyFont="1" applyFill="1" applyAlignment="1">
      <alignment horizontal="left"/>
    </xf>
    <xf numFmtId="0" fontId="5" fillId="4" borderId="2" xfId="0" applyFont="1" applyFill="1" applyBorder="1" applyAlignment="1">
      <alignment horizontal="left"/>
    </xf>
    <xf numFmtId="0" fontId="5" fillId="4" borderId="3" xfId="0" applyFont="1" applyFill="1" applyBorder="1" applyAlignment="1">
      <alignment horizontal="left"/>
    </xf>
    <xf numFmtId="0" fontId="5" fillId="4" borderId="5" xfId="0" applyFont="1" applyFill="1" applyBorder="1" applyAlignment="1">
      <alignment horizontal="left"/>
    </xf>
    <xf numFmtId="0" fontId="5" fillId="4" borderId="8" xfId="0" applyFont="1" applyFill="1" applyBorder="1" applyAlignment="1">
      <alignment horizontal="left"/>
    </xf>
    <xf numFmtId="0" fontId="5" fillId="4" borderId="0" xfId="0" applyFont="1" applyFill="1"/>
    <xf numFmtId="0" fontId="5" fillId="4" borderId="5" xfId="0" applyFont="1" applyFill="1" applyBorder="1"/>
    <xf numFmtId="0" fontId="13" fillId="0" borderId="0" xfId="1" applyFont="1" applyAlignment="1"/>
    <xf numFmtId="49" fontId="2" fillId="0" borderId="0" xfId="0" applyNumberFormat="1" applyFont="1"/>
    <xf numFmtId="14" fontId="2" fillId="0" borderId="0" xfId="0" applyNumberFormat="1" applyFont="1"/>
    <xf numFmtId="0" fontId="12" fillId="0" borderId="0" xfId="0" applyFont="1"/>
    <xf numFmtId="0" fontId="5" fillId="4" borderId="1" xfId="0" applyFont="1" applyFill="1" applyBorder="1" applyAlignment="1">
      <alignment horizontal="left"/>
    </xf>
    <xf numFmtId="0" fontId="5" fillId="4" borderId="2" xfId="0" applyFont="1" applyFill="1" applyBorder="1" applyAlignment="1">
      <alignment horizontal="right"/>
    </xf>
    <xf numFmtId="0" fontId="5" fillId="4" borderId="3" xfId="0" applyFont="1" applyFill="1" applyBorder="1" applyAlignment="1">
      <alignment horizontal="right"/>
    </xf>
    <xf numFmtId="10" fontId="2" fillId="8" borderId="17" xfId="0" applyNumberFormat="1" applyFont="1" applyFill="1" applyBorder="1"/>
    <xf numFmtId="0" fontId="5" fillId="4" borderId="4" xfId="0" applyFont="1" applyFill="1" applyBorder="1" applyAlignment="1">
      <alignment horizontal="left"/>
    </xf>
    <xf numFmtId="0" fontId="5" fillId="4" borderId="0" xfId="0" applyFont="1" applyFill="1" applyAlignment="1">
      <alignment horizontal="right"/>
    </xf>
    <xf numFmtId="0" fontId="5" fillId="4" borderId="5" xfId="0" applyFont="1" applyFill="1" applyBorder="1" applyAlignment="1">
      <alignment horizontal="right"/>
    </xf>
    <xf numFmtId="10" fontId="2" fillId="0" borderId="19" xfId="0" applyNumberFormat="1" applyFont="1" applyBorder="1"/>
    <xf numFmtId="0" fontId="5" fillId="4" borderId="6" xfId="0" applyFont="1" applyFill="1" applyBorder="1" applyAlignment="1">
      <alignment horizontal="left"/>
    </xf>
    <xf numFmtId="0" fontId="5" fillId="4" borderId="7" xfId="0" applyFont="1" applyFill="1" applyBorder="1" applyAlignment="1">
      <alignment horizontal="right"/>
    </xf>
    <xf numFmtId="0" fontId="5" fillId="4" borderId="8" xfId="0" applyFont="1" applyFill="1" applyBorder="1" applyAlignment="1">
      <alignment horizontal="right"/>
    </xf>
    <xf numFmtId="10" fontId="2" fillId="12" borderId="22" xfId="0" applyNumberFormat="1" applyFont="1" applyFill="1" applyBorder="1"/>
    <xf numFmtId="0" fontId="2" fillId="0" borderId="0" xfId="0" applyFont="1" applyAlignment="1">
      <alignment horizontal="right"/>
    </xf>
    <xf numFmtId="0" fontId="1" fillId="0" borderId="0" xfId="0" applyFont="1" applyAlignment="1">
      <alignment horizontal="left"/>
    </xf>
    <xf numFmtId="10" fontId="2" fillId="8" borderId="23" xfId="0" applyNumberFormat="1" applyFont="1" applyFill="1" applyBorder="1"/>
    <xf numFmtId="0" fontId="2" fillId="0" borderId="0" xfId="0" applyFont="1" applyAlignment="1">
      <alignment horizontal="left"/>
    </xf>
    <xf numFmtId="10" fontId="2" fillId="0" borderId="24" xfId="0" applyNumberFormat="1" applyFont="1" applyBorder="1"/>
    <xf numFmtId="10" fontId="2" fillId="12" borderId="25" xfId="0" applyNumberFormat="1" applyFont="1" applyFill="1" applyBorder="1"/>
    <xf numFmtId="0" fontId="7" fillId="0" borderId="0" xfId="0" applyFont="1"/>
    <xf numFmtId="0" fontId="1" fillId="0" borderId="0" xfId="0" applyFont="1" applyAlignment="1">
      <alignment horizontal="right"/>
    </xf>
    <xf numFmtId="0" fontId="4" fillId="3" borderId="1" xfId="0" applyFont="1" applyFill="1" applyBorder="1"/>
    <xf numFmtId="0" fontId="4" fillId="3" borderId="2" xfId="0" applyFont="1" applyFill="1" applyBorder="1"/>
    <xf numFmtId="0" fontId="4" fillId="3" borderId="10" xfId="0" applyFont="1" applyFill="1" applyBorder="1"/>
    <xf numFmtId="0" fontId="4" fillId="3" borderId="11" xfId="0" applyFont="1" applyFill="1" applyBorder="1"/>
    <xf numFmtId="0" fontId="4" fillId="3" borderId="9" xfId="0" applyFont="1" applyFill="1" applyBorder="1"/>
    <xf numFmtId="0" fontId="2" fillId="3" borderId="11" xfId="0" applyFont="1" applyFill="1" applyBorder="1"/>
    <xf numFmtId="0" fontId="11" fillId="13" borderId="0" xfId="0" applyFont="1" applyFill="1"/>
    <xf numFmtId="0" fontId="11" fillId="13" borderId="5" xfId="0" applyFont="1" applyFill="1" applyBorder="1"/>
    <xf numFmtId="0" fontId="11" fillId="13" borderId="1" xfId="0" applyFont="1" applyFill="1" applyBorder="1"/>
    <xf numFmtId="0" fontId="11" fillId="13" borderId="2" xfId="0" applyFont="1" applyFill="1" applyBorder="1"/>
    <xf numFmtId="0" fontId="11" fillId="13" borderId="3" xfId="0" applyFont="1" applyFill="1" applyBorder="1"/>
    <xf numFmtId="0" fontId="10" fillId="13" borderId="0" xfId="0" applyFont="1" applyFill="1"/>
    <xf numFmtId="0" fontId="10" fillId="13" borderId="0" xfId="0" applyFont="1" applyFill="1" applyAlignment="1">
      <alignment horizontal="center"/>
    </xf>
    <xf numFmtId="0" fontId="11" fillId="13" borderId="4" xfId="0" applyFont="1" applyFill="1" applyBorder="1"/>
    <xf numFmtId="0" fontId="11" fillId="13" borderId="0" xfId="0" applyFont="1" applyFill="1" applyAlignment="1">
      <alignment horizontal="center"/>
    </xf>
    <xf numFmtId="0" fontId="5" fillId="4" borderId="0" xfId="0" applyFont="1" applyFill="1" applyAlignment="1">
      <alignment horizontal="center"/>
    </xf>
    <xf numFmtId="0" fontId="11" fillId="13" borderId="7" xfId="0" applyFont="1" applyFill="1" applyBorder="1"/>
    <xf numFmtId="0" fontId="11" fillId="13" borderId="7" xfId="0" applyFont="1" applyFill="1" applyBorder="1" applyAlignment="1">
      <alignment horizontal="center"/>
    </xf>
    <xf numFmtId="0" fontId="11" fillId="13" borderId="8" xfId="0" applyFont="1" applyFill="1" applyBorder="1"/>
    <xf numFmtId="0" fontId="11" fillId="13" borderId="6" xfId="0" applyFont="1" applyFill="1" applyBorder="1"/>
    <xf numFmtId="0" fontId="11" fillId="13" borderId="2" xfId="0" applyFont="1" applyFill="1" applyBorder="1" applyAlignment="1">
      <alignment horizontal="center"/>
    </xf>
    <xf numFmtId="0" fontId="10" fillId="13" borderId="0" xfId="0" applyFont="1" applyFill="1" applyAlignment="1">
      <alignment horizontal="right"/>
    </xf>
    <xf numFmtId="0" fontId="10" fillId="13" borderId="5" xfId="0" applyFont="1" applyFill="1" applyBorder="1" applyAlignment="1">
      <alignment horizontal="left"/>
    </xf>
    <xf numFmtId="0" fontId="11" fillId="13" borderId="5" xfId="0" applyFont="1" applyFill="1" applyBorder="1" applyAlignment="1">
      <alignment horizontal="left"/>
    </xf>
    <xf numFmtId="0" fontId="10" fillId="13" borderId="10" xfId="0" applyFont="1" applyFill="1" applyBorder="1" applyAlignment="1">
      <alignment horizontal="left"/>
    </xf>
    <xf numFmtId="0" fontId="10" fillId="13" borderId="10" xfId="0" applyFont="1" applyFill="1" applyBorder="1" applyAlignment="1">
      <alignment horizontal="center"/>
    </xf>
    <xf numFmtId="0" fontId="11" fillId="13" borderId="11" xfId="0" applyFont="1" applyFill="1" applyBorder="1"/>
    <xf numFmtId="0" fontId="11" fillId="13" borderId="9" xfId="0" applyFont="1" applyFill="1" applyBorder="1"/>
    <xf numFmtId="0" fontId="11" fillId="13" borderId="10" xfId="0" applyFont="1" applyFill="1" applyBorder="1"/>
    <xf numFmtId="0" fontId="7" fillId="0" borderId="0" xfId="0" applyFont="1" applyAlignment="1">
      <alignment wrapText="1"/>
    </xf>
    <xf numFmtId="0" fontId="21" fillId="0" borderId="0" xfId="1" applyFont="1" applyAlignment="1"/>
    <xf numFmtId="0" fontId="5" fillId="3" borderId="0" xfId="0" applyFont="1" applyFill="1"/>
    <xf numFmtId="0" fontId="4" fillId="3" borderId="0" xfId="0" applyFont="1" applyFill="1"/>
    <xf numFmtId="0" fontId="5" fillId="4" borderId="3" xfId="0" applyFont="1" applyFill="1" applyBorder="1" applyAlignment="1">
      <alignment horizontal="center"/>
    </xf>
    <xf numFmtId="0" fontId="11" fillId="13" borderId="1" xfId="0" applyFont="1" applyFill="1" applyBorder="1" applyAlignment="1">
      <alignment horizontal="right"/>
    </xf>
    <xf numFmtId="0" fontId="5" fillId="4" borderId="5" xfId="0" applyFont="1" applyFill="1" applyBorder="1" applyAlignment="1">
      <alignment horizontal="center"/>
    </xf>
    <xf numFmtId="0" fontId="11" fillId="13" borderId="4" xfId="0" applyFont="1" applyFill="1" applyBorder="1" applyAlignment="1">
      <alignment horizontal="right"/>
    </xf>
    <xf numFmtId="0" fontId="5" fillId="4" borderId="8" xfId="0" applyFont="1" applyFill="1" applyBorder="1" applyAlignment="1">
      <alignment horizontal="center"/>
    </xf>
    <xf numFmtId="0" fontId="11" fillId="13" borderId="9" xfId="0" applyFont="1" applyFill="1" applyBorder="1" applyAlignment="1">
      <alignment horizontal="right"/>
    </xf>
    <xf numFmtId="0" fontId="4" fillId="4" borderId="2" xfId="0" applyFont="1" applyFill="1" applyBorder="1" applyAlignment="1">
      <alignment horizontal="center"/>
    </xf>
    <xf numFmtId="0" fontId="2" fillId="13" borderId="9" xfId="0" applyFont="1" applyFill="1" applyBorder="1"/>
    <xf numFmtId="0" fontId="2" fillId="13" borderId="11" xfId="0" applyFont="1" applyFill="1" applyBorder="1"/>
    <xf numFmtId="0" fontId="5" fillId="5" borderId="1" xfId="0" applyFont="1" applyFill="1" applyBorder="1"/>
    <xf numFmtId="0" fontId="4" fillId="5" borderId="2" xfId="0" applyFont="1" applyFill="1" applyBorder="1"/>
    <xf numFmtId="0" fontId="5" fillId="7" borderId="9" xfId="0" applyFont="1" applyFill="1" applyBorder="1" applyAlignment="1">
      <alignment horizontal="left"/>
    </xf>
    <xf numFmtId="0" fontId="4" fillId="7" borderId="10" xfId="0" applyFont="1" applyFill="1" applyBorder="1" applyAlignment="1">
      <alignment horizontal="center"/>
    </xf>
    <xf numFmtId="0" fontId="5" fillId="7" borderId="11" xfId="0" applyFont="1" applyFill="1" applyBorder="1" applyAlignment="1">
      <alignment horizontal="left"/>
    </xf>
    <xf numFmtId="0" fontId="2" fillId="6" borderId="9" xfId="0" applyFont="1" applyFill="1" applyBorder="1"/>
    <xf numFmtId="0" fontId="2" fillId="6" borderId="10" xfId="0" applyFont="1" applyFill="1" applyBorder="1"/>
    <xf numFmtId="0" fontId="2" fillId="6" borderId="11" xfId="0" applyFont="1" applyFill="1" applyBorder="1"/>
    <xf numFmtId="10" fontId="13" fillId="8" borderId="31" xfId="1" applyNumberFormat="1" applyFont="1" applyFill="1" applyBorder="1" applyAlignment="1"/>
    <xf numFmtId="10" fontId="13" fillId="8" borderId="26" xfId="1" applyNumberFormat="1" applyFont="1" applyFill="1" applyBorder="1" applyAlignment="1"/>
    <xf numFmtId="10" fontId="12" fillId="0" borderId="26" xfId="0" applyNumberFormat="1" applyFont="1" applyBorder="1"/>
    <xf numFmtId="10" fontId="2" fillId="0" borderId="18" xfId="0" applyNumberFormat="1" applyFont="1" applyBorder="1"/>
    <xf numFmtId="10" fontId="2" fillId="0" borderId="14" xfId="0" applyNumberFormat="1" applyFont="1" applyBorder="1"/>
    <xf numFmtId="10" fontId="13" fillId="0" borderId="26" xfId="0" applyNumberFormat="1" applyFont="1" applyBorder="1"/>
    <xf numFmtId="10" fontId="2" fillId="8" borderId="26" xfId="0" applyNumberFormat="1" applyFont="1" applyFill="1" applyBorder="1"/>
    <xf numFmtId="10" fontId="2" fillId="8" borderId="18" xfId="0" applyNumberFormat="1" applyFont="1" applyFill="1" applyBorder="1"/>
    <xf numFmtId="10" fontId="2" fillId="8" borderId="14" xfId="0" applyNumberFormat="1" applyFont="1" applyFill="1" applyBorder="1"/>
    <xf numFmtId="10" fontId="2" fillId="8" borderId="19" xfId="0" applyNumberFormat="1" applyFont="1" applyFill="1" applyBorder="1"/>
    <xf numFmtId="10" fontId="13" fillId="8" borderId="26" xfId="0" applyNumberFormat="1" applyFont="1" applyFill="1" applyBorder="1"/>
    <xf numFmtId="10" fontId="2" fillId="0" borderId="26" xfId="0" applyNumberFormat="1" applyFont="1" applyBorder="1"/>
    <xf numFmtId="10" fontId="2" fillId="0" borderId="30" xfId="0" applyNumberFormat="1" applyFont="1" applyBorder="1"/>
    <xf numFmtId="10" fontId="2" fillId="0" borderId="28" xfId="0" applyNumberFormat="1" applyFont="1" applyBorder="1"/>
    <xf numFmtId="10" fontId="2" fillId="0" borderId="29" xfId="0" applyNumberFormat="1" applyFont="1" applyBorder="1"/>
    <xf numFmtId="10" fontId="13" fillId="8" borderId="27" xfId="1" applyNumberFormat="1" applyFont="1" applyFill="1" applyBorder="1" applyAlignment="1"/>
    <xf numFmtId="10" fontId="2" fillId="8" borderId="16" xfId="0" applyNumberFormat="1" applyFont="1" applyFill="1" applyBorder="1"/>
    <xf numFmtId="10" fontId="13" fillId="8" borderId="14" xfId="1" applyNumberFormat="1" applyFont="1" applyFill="1" applyBorder="1" applyAlignment="1"/>
    <xf numFmtId="10" fontId="2" fillId="0" borderId="21" xfId="0" applyNumberFormat="1" applyFont="1" applyBorder="1"/>
    <xf numFmtId="10" fontId="2" fillId="0" borderId="22" xfId="0" applyNumberFormat="1" applyFont="1" applyBorder="1"/>
    <xf numFmtId="0" fontId="5" fillId="10" borderId="1" xfId="0" applyFont="1" applyFill="1" applyBorder="1" applyAlignment="1">
      <alignment horizontal="left"/>
    </xf>
    <xf numFmtId="0" fontId="5" fillId="10" borderId="2" xfId="0" applyFont="1" applyFill="1" applyBorder="1" applyAlignment="1">
      <alignment horizontal="left"/>
    </xf>
    <xf numFmtId="0" fontId="4" fillId="10" borderId="2" xfId="0" applyFont="1" applyFill="1" applyBorder="1" applyAlignment="1">
      <alignment horizontal="center"/>
    </xf>
    <xf numFmtId="10" fontId="2" fillId="8" borderId="15" xfId="0" applyNumberFormat="1" applyFont="1" applyFill="1" applyBorder="1"/>
    <xf numFmtId="0" fontId="5" fillId="10" borderId="4" xfId="0" applyFont="1" applyFill="1" applyBorder="1" applyAlignment="1">
      <alignment horizontal="left"/>
    </xf>
    <xf numFmtId="0" fontId="5" fillId="10" borderId="0" xfId="0" applyFont="1" applyFill="1" applyAlignment="1">
      <alignment horizontal="left"/>
    </xf>
    <xf numFmtId="0" fontId="4" fillId="10" borderId="0" xfId="0" applyFont="1" applyFill="1" applyAlignment="1">
      <alignment horizontal="center"/>
    </xf>
    <xf numFmtId="10" fontId="2" fillId="0" borderId="20" xfId="0" applyNumberFormat="1" applyFont="1" applyBorder="1"/>
    <xf numFmtId="0" fontId="9" fillId="0" borderId="0" xfId="0" applyFont="1"/>
    <xf numFmtId="0" fontId="10" fillId="0" borderId="0" xfId="0" applyFont="1"/>
    <xf numFmtId="0" fontId="16" fillId="0" borderId="0" xfId="0" applyFont="1"/>
    <xf numFmtId="2" fontId="2" fillId="0" borderId="0" xfId="0" applyNumberFormat="1" applyFont="1"/>
    <xf numFmtId="10" fontId="2" fillId="0" borderId="0" xfId="0" applyNumberFormat="1" applyFont="1"/>
    <xf numFmtId="0" fontId="3" fillId="2" borderId="0" xfId="0" applyFont="1" applyFill="1" applyAlignment="1">
      <alignment horizontal="center"/>
    </xf>
    <xf numFmtId="0" fontId="2" fillId="11" borderId="0" xfId="0" applyFont="1" applyFill="1"/>
    <xf numFmtId="10" fontId="3" fillId="2" borderId="0" xfId="0" applyNumberFormat="1" applyFont="1" applyFill="1" applyAlignment="1">
      <alignment horizontal="center"/>
    </xf>
    <xf numFmtId="0" fontId="3" fillId="2" borderId="0" xfId="0" applyFont="1" applyFill="1" applyAlignment="1">
      <alignment horizontal="right"/>
    </xf>
    <xf numFmtId="3" fontId="2" fillId="0" borderId="0" xfId="0" applyNumberFormat="1" applyFont="1" applyAlignment="1">
      <alignment horizontal="left"/>
    </xf>
    <xf numFmtId="0" fontId="14" fillId="0" borderId="13" xfId="0" applyFont="1" applyBorder="1" applyAlignment="1">
      <alignment horizontal="center"/>
    </xf>
    <xf numFmtId="0" fontId="14" fillId="0" borderId="13" xfId="0" applyFont="1" applyBorder="1" applyAlignment="1">
      <alignment horizontal="left"/>
    </xf>
    <xf numFmtId="0" fontId="14" fillId="0" borderId="13" xfId="0" applyFont="1" applyBorder="1" applyAlignment="1">
      <alignment horizontal="right"/>
    </xf>
    <xf numFmtId="0" fontId="14" fillId="0" borderId="13" xfId="0" applyFont="1" applyBorder="1" applyAlignment="1">
      <alignment horizontal="center" wrapText="1"/>
    </xf>
    <xf numFmtId="10" fontId="2" fillId="0" borderId="0" xfId="2" applyNumberFormat="1" applyFont="1" applyAlignment="1"/>
    <xf numFmtId="2" fontId="2" fillId="0" borderId="0" xfId="2" quotePrefix="1" applyNumberFormat="1" applyFont="1" applyAlignment="1"/>
    <xf numFmtId="2" fontId="2" fillId="0" borderId="0" xfId="0" quotePrefix="1" applyNumberFormat="1" applyFont="1"/>
    <xf numFmtId="0" fontId="2" fillId="0" borderId="0" xfId="2" applyNumberFormat="1" applyFont="1" applyAlignment="1"/>
    <xf numFmtId="0" fontId="2" fillId="0" borderId="12" xfId="0" applyFont="1" applyBorder="1"/>
    <xf numFmtId="10" fontId="9" fillId="0" borderId="0" xfId="2" applyNumberFormat="1" applyFont="1" applyAlignment="1"/>
    <xf numFmtId="0" fontId="6" fillId="0" borderId="0" xfId="1" applyAlignment="1"/>
    <xf numFmtId="0" fontId="4" fillId="4" borderId="0" xfId="0" applyFont="1" applyFill="1" applyAlignment="1">
      <alignment horizontal="center"/>
    </xf>
    <xf numFmtId="0" fontId="11" fillId="9" borderId="4" xfId="0" applyFont="1" applyFill="1" applyBorder="1"/>
    <xf numFmtId="0" fontId="11" fillId="9" borderId="0" xfId="0" applyFont="1" applyFill="1"/>
    <xf numFmtId="0" fontId="13" fillId="9" borderId="1" xfId="1" applyFont="1" applyFill="1" applyBorder="1" applyAlignment="1"/>
    <xf numFmtId="0" fontId="12" fillId="9" borderId="2" xfId="0" applyFont="1" applyFill="1" applyBorder="1"/>
    <xf numFmtId="0" fontId="11" fillId="9" borderId="2" xfId="0" applyFont="1" applyFill="1" applyBorder="1"/>
    <xf numFmtId="0" fontId="11" fillId="9" borderId="3" xfId="0" applyFont="1" applyFill="1" applyBorder="1"/>
    <xf numFmtId="0" fontId="10" fillId="9" borderId="4" xfId="0" applyFont="1" applyFill="1" applyBorder="1"/>
    <xf numFmtId="0" fontId="10" fillId="9" borderId="0" xfId="0" applyFont="1" applyFill="1" applyAlignment="1">
      <alignment horizontal="center"/>
    </xf>
    <xf numFmtId="0" fontId="13" fillId="9" borderId="4" xfId="1" applyFont="1" applyFill="1" applyBorder="1" applyAlignment="1"/>
    <xf numFmtId="0" fontId="12" fillId="9" borderId="0" xfId="0" applyFont="1" applyFill="1"/>
    <xf numFmtId="0" fontId="11" fillId="9" borderId="5" xfId="0" applyFont="1" applyFill="1" applyBorder="1"/>
    <xf numFmtId="0" fontId="11" fillId="9" borderId="0" xfId="0" applyFont="1" applyFill="1" applyAlignment="1">
      <alignment horizontal="center"/>
    </xf>
    <xf numFmtId="0" fontId="11" fillId="9" borderId="6" xfId="0" applyFont="1" applyFill="1" applyBorder="1"/>
    <xf numFmtId="0" fontId="11" fillId="9" borderId="7" xfId="0" applyFont="1" applyFill="1" applyBorder="1" applyAlignment="1">
      <alignment horizontal="center"/>
    </xf>
    <xf numFmtId="0" fontId="11" fillId="9" borderId="7" xfId="0" applyFont="1" applyFill="1" applyBorder="1"/>
    <xf numFmtId="0" fontId="12" fillId="9" borderId="7" xfId="0" applyFont="1" applyFill="1" applyBorder="1"/>
    <xf numFmtId="0" fontId="11" fillId="9" borderId="8" xfId="0" applyFont="1" applyFill="1" applyBorder="1"/>
    <xf numFmtId="0" fontId="11" fillId="9" borderId="1" xfId="0" applyFont="1" applyFill="1" applyBorder="1"/>
    <xf numFmtId="0" fontId="11" fillId="9" borderId="2" xfId="0" applyFont="1" applyFill="1" applyBorder="1" applyAlignment="1">
      <alignment horizontal="center"/>
    </xf>
    <xf numFmtId="0" fontId="13" fillId="9" borderId="6" xfId="1" applyFont="1" applyFill="1" applyBorder="1" applyAlignment="1"/>
    <xf numFmtId="0" fontId="4" fillId="4" borderId="1" xfId="0" applyFont="1" applyFill="1" applyBorder="1" applyAlignment="1">
      <alignment horizontal="center"/>
    </xf>
    <xf numFmtId="0" fontId="4" fillId="4" borderId="4" xfId="0" applyFont="1" applyFill="1" applyBorder="1" applyAlignment="1">
      <alignment horizontal="center"/>
    </xf>
    <xf numFmtId="0" fontId="10" fillId="9" borderId="4" xfId="0" applyFont="1" applyFill="1" applyBorder="1" applyAlignment="1">
      <alignment horizontal="right"/>
    </xf>
    <xf numFmtId="0" fontId="10" fillId="9" borderId="5" xfId="0" applyFont="1" applyFill="1" applyBorder="1" applyAlignment="1">
      <alignment horizontal="left"/>
    </xf>
    <xf numFmtId="0" fontId="11" fillId="9" borderId="5" xfId="0" applyFont="1" applyFill="1" applyBorder="1" applyAlignment="1">
      <alignment horizontal="left"/>
    </xf>
    <xf numFmtId="0" fontId="5" fillId="4" borderId="4" xfId="0" applyFont="1" applyFill="1" applyBorder="1" applyAlignment="1">
      <alignment horizontal="center"/>
    </xf>
    <xf numFmtId="0" fontId="4" fillId="4" borderId="6" xfId="0" applyFont="1" applyFill="1" applyBorder="1" applyAlignment="1">
      <alignment horizontal="center"/>
    </xf>
    <xf numFmtId="0" fontId="10" fillId="9" borderId="6" xfId="0" applyFont="1" applyFill="1" applyBorder="1" applyAlignment="1">
      <alignment horizontal="left"/>
    </xf>
    <xf numFmtId="0" fontId="10" fillId="9" borderId="7" xfId="0" applyFont="1" applyFill="1" applyBorder="1" applyAlignment="1">
      <alignment horizontal="center"/>
    </xf>
    <xf numFmtId="0" fontId="13" fillId="9" borderId="9" xfId="1" applyFont="1" applyFill="1" applyBorder="1" applyAlignment="1"/>
    <xf numFmtId="0" fontId="12" fillId="9" borderId="10" xfId="0" applyFont="1" applyFill="1" applyBorder="1"/>
    <xf numFmtId="0" fontId="11" fillId="9" borderId="10" xfId="0" applyFont="1" applyFill="1" applyBorder="1"/>
    <xf numFmtId="0" fontId="11" fillId="9" borderId="11" xfId="0" applyFont="1" applyFill="1" applyBorder="1"/>
    <xf numFmtId="0" fontId="13" fillId="0" borderId="0" xfId="1" applyFont="1" applyFill="1" applyBorder="1" applyAlignment="1"/>
    <xf numFmtId="0" fontId="2" fillId="0" borderId="0" xfId="0" applyFont="1" applyAlignment="1">
      <alignment horizontal="left" vertical="center" wrapText="1"/>
    </xf>
    <xf numFmtId="0" fontId="2" fillId="0" borderId="0" xfId="0" applyFont="1" applyAlignment="1">
      <alignment vertical="center"/>
    </xf>
    <xf numFmtId="0" fontId="9" fillId="0" borderId="0" xfId="0" applyFont="1" applyAlignment="1">
      <alignment vertical="center"/>
    </xf>
    <xf numFmtId="164" fontId="1" fillId="0" borderId="0" xfId="0" applyNumberFormat="1" applyFont="1" applyAlignment="1">
      <alignment vertical="center"/>
    </xf>
    <xf numFmtId="0" fontId="10" fillId="0" borderId="0" xfId="0" applyFont="1" applyAlignment="1">
      <alignment vertical="center"/>
    </xf>
    <xf numFmtId="0" fontId="17" fillId="0" borderId="0" xfId="0" applyFont="1" applyAlignment="1">
      <alignment vertical="center"/>
    </xf>
    <xf numFmtId="0" fontId="16" fillId="0" borderId="0" xfId="0" applyFont="1" applyAlignment="1">
      <alignment vertical="center"/>
    </xf>
    <xf numFmtId="0" fontId="1" fillId="0" borderId="0" xfId="0" applyFont="1" applyAlignment="1">
      <alignment vertical="center"/>
    </xf>
    <xf numFmtId="1" fontId="2" fillId="0" borderId="0" xfId="0" applyNumberFormat="1" applyFont="1" applyAlignment="1">
      <alignment vertical="center"/>
    </xf>
    <xf numFmtId="1" fontId="16" fillId="0" borderId="0" xfId="0" applyNumberFormat="1" applyFont="1" applyAlignment="1">
      <alignment vertical="center"/>
    </xf>
    <xf numFmtId="0" fontId="3" fillId="0" borderId="0" xfId="0" applyFont="1" applyAlignment="1">
      <alignment vertical="center"/>
    </xf>
    <xf numFmtId="1" fontId="1" fillId="0" borderId="0" xfId="0" applyNumberFormat="1" applyFont="1" applyAlignment="1">
      <alignment vertical="center"/>
    </xf>
    <xf numFmtId="1" fontId="17" fillId="0" borderId="0" xfId="0" applyNumberFormat="1" applyFont="1" applyAlignment="1">
      <alignment vertical="center"/>
    </xf>
    <xf numFmtId="0" fontId="2" fillId="0" borderId="0" xfId="0" applyFont="1" applyAlignment="1">
      <alignment horizontal="left" vertical="center"/>
    </xf>
    <xf numFmtId="165" fontId="2" fillId="0" borderId="0" xfId="0" applyNumberFormat="1" applyFont="1" applyAlignment="1">
      <alignment vertical="center"/>
    </xf>
    <xf numFmtId="165" fontId="17" fillId="0" borderId="0" xfId="2" applyNumberFormat="1" applyFont="1" applyAlignment="1">
      <alignment vertical="center"/>
    </xf>
    <xf numFmtId="165" fontId="16" fillId="0" borderId="0" xfId="0" applyNumberFormat="1" applyFont="1" applyAlignment="1">
      <alignment vertical="center"/>
    </xf>
    <xf numFmtId="165" fontId="16" fillId="0" borderId="0" xfId="2" applyNumberFormat="1" applyFont="1" applyAlignment="1">
      <alignment vertical="center"/>
    </xf>
    <xf numFmtId="165" fontId="1" fillId="0" borderId="0" xfId="0" applyNumberFormat="1" applyFont="1" applyAlignment="1">
      <alignment vertical="center"/>
    </xf>
    <xf numFmtId="165" fontId="17" fillId="0" borderId="0" xfId="0" applyNumberFormat="1" applyFont="1" applyAlignment="1">
      <alignment vertical="center"/>
    </xf>
    <xf numFmtId="164" fontId="2" fillId="0" borderId="0" xfId="0" applyNumberFormat="1" applyFont="1" applyAlignment="1">
      <alignment vertical="center"/>
    </xf>
    <xf numFmtId="164" fontId="17" fillId="0" borderId="0" xfId="0" applyNumberFormat="1" applyFont="1" applyAlignment="1">
      <alignment vertical="center"/>
    </xf>
    <xf numFmtId="164" fontId="16" fillId="0" borderId="0" xfId="0" applyNumberFormat="1" applyFont="1" applyAlignment="1">
      <alignment vertical="center"/>
    </xf>
    <xf numFmtId="2" fontId="2" fillId="0" borderId="0" xfId="0" applyNumberFormat="1" applyFont="1" applyAlignment="1">
      <alignment vertical="center"/>
    </xf>
    <xf numFmtId="2" fontId="16" fillId="0" borderId="0" xfId="0" applyNumberFormat="1" applyFont="1" applyAlignment="1">
      <alignment vertical="center"/>
    </xf>
    <xf numFmtId="9" fontId="2" fillId="0" borderId="0" xfId="0" applyNumberFormat="1" applyFont="1" applyAlignment="1">
      <alignment vertical="center"/>
    </xf>
    <xf numFmtId="0" fontId="16" fillId="0" borderId="0" xfId="0" applyFont="1" applyAlignment="1">
      <alignment horizontal="right" vertical="center"/>
    </xf>
    <xf numFmtId="0" fontId="16" fillId="0" borderId="0" xfId="0" applyFont="1" applyAlignment="1">
      <alignment horizontal="center" vertical="center"/>
    </xf>
    <xf numFmtId="0" fontId="16" fillId="0" borderId="0" xfId="0" applyFont="1" applyAlignment="1">
      <alignment vertical="center" wrapText="1"/>
    </xf>
    <xf numFmtId="10" fontId="16" fillId="0" borderId="0" xfId="0" applyNumberFormat="1" applyFont="1" applyAlignment="1">
      <alignment vertical="center"/>
    </xf>
    <xf numFmtId="14" fontId="16" fillId="0" borderId="0" xfId="0" applyNumberFormat="1" applyFont="1" applyAlignment="1">
      <alignment horizontal="left" vertical="center"/>
    </xf>
    <xf numFmtId="0" fontId="16" fillId="0" borderId="0" xfId="0" applyFont="1" applyAlignment="1">
      <alignment horizontal="left" vertical="center"/>
    </xf>
    <xf numFmtId="49" fontId="16" fillId="0" borderId="0" xfId="0" applyNumberFormat="1" applyFont="1" applyAlignment="1">
      <alignment horizontal="left" vertical="center"/>
    </xf>
    <xf numFmtId="10" fontId="2" fillId="0" borderId="0" xfId="0" applyNumberFormat="1" applyFont="1" applyAlignment="1">
      <alignment vertical="center"/>
    </xf>
    <xf numFmtId="10" fontId="17" fillId="0" borderId="0" xfId="0" applyNumberFormat="1" applyFont="1" applyAlignment="1">
      <alignment vertical="center"/>
    </xf>
    <xf numFmtId="0" fontId="2" fillId="0" borderId="0" xfId="0" applyFont="1" applyAlignment="1">
      <alignment horizontal="left" vertical="center" wrapText="1" indent="1"/>
    </xf>
    <xf numFmtId="0" fontId="2" fillId="0" borderId="0" xfId="0" applyFont="1" applyAlignment="1">
      <alignment horizontal="left" vertical="center" indent="1"/>
    </xf>
    <xf numFmtId="0" fontId="24" fillId="2" borderId="0" xfId="0" applyFont="1" applyFill="1" applyAlignment="1">
      <alignment horizontal="center" vertical="center"/>
    </xf>
    <xf numFmtId="0" fontId="9" fillId="14" borderId="0" xfId="0" applyFont="1" applyFill="1"/>
    <xf numFmtId="2" fontId="3" fillId="2" borderId="0" xfId="0" applyNumberFormat="1" applyFont="1" applyFill="1" applyAlignment="1">
      <alignment horizontal="center" vertical="center"/>
    </xf>
    <xf numFmtId="0" fontId="25" fillId="0" borderId="0" xfId="0" applyFont="1"/>
    <xf numFmtId="0" fontId="16" fillId="0" borderId="0" xfId="0" applyFont="1" applyAlignment="1">
      <alignment horizontal="left" vertical="top"/>
    </xf>
    <xf numFmtId="0" fontId="16" fillId="0" borderId="0" xfId="0" applyFont="1" applyAlignment="1">
      <alignment horizontal="right" vertical="top"/>
    </xf>
    <xf numFmtId="0" fontId="16" fillId="0" borderId="0" xfId="0" applyFont="1" applyAlignment="1">
      <alignment vertical="top"/>
    </xf>
    <xf numFmtId="0" fontId="16" fillId="0" borderId="0" xfId="0" applyFont="1" applyAlignment="1">
      <alignment vertical="top" wrapText="1"/>
    </xf>
    <xf numFmtId="164" fontId="16" fillId="0" borderId="0" xfId="0" applyNumberFormat="1" applyFont="1" applyAlignment="1">
      <alignment vertical="top"/>
    </xf>
    <xf numFmtId="1" fontId="16" fillId="0" borderId="0" xfId="0" applyNumberFormat="1" applyFont="1" applyAlignment="1">
      <alignment vertical="top"/>
    </xf>
    <xf numFmtId="0" fontId="17" fillId="0" borderId="0" xfId="0" applyFont="1" applyAlignment="1">
      <alignment vertical="top"/>
    </xf>
    <xf numFmtId="2" fontId="16" fillId="0" borderId="0" xfId="0" applyNumberFormat="1" applyFont="1" applyAlignment="1">
      <alignment vertical="top"/>
    </xf>
    <xf numFmtId="0" fontId="16" fillId="0" borderId="0" xfId="0" applyFont="1" applyAlignment="1">
      <alignment horizontal="left" indent="1"/>
    </xf>
    <xf numFmtId="10" fontId="16" fillId="0" borderId="0" xfId="2" applyNumberFormat="1" applyFont="1"/>
    <xf numFmtId="0" fontId="17" fillId="0" borderId="0" xfId="0" applyFont="1" applyAlignment="1">
      <alignment horizontal="left" indent="1"/>
    </xf>
    <xf numFmtId="0" fontId="17" fillId="0" borderId="0" xfId="0" applyFont="1"/>
    <xf numFmtId="10" fontId="17" fillId="0" borderId="0" xfId="2" applyNumberFormat="1" applyFont="1"/>
    <xf numFmtId="0" fontId="16" fillId="0" borderId="0" xfId="0" applyFont="1" applyAlignment="1">
      <alignment horizontal="left" vertical="top" indent="1"/>
    </xf>
    <xf numFmtId="1" fontId="16" fillId="0" borderId="0" xfId="0" applyNumberFormat="1" applyFont="1"/>
    <xf numFmtId="2" fontId="16" fillId="0" borderId="0" xfId="0" applyNumberFormat="1" applyFont="1"/>
    <xf numFmtId="9" fontId="16" fillId="0" borderId="0" xfId="2" applyFont="1"/>
    <xf numFmtId="10" fontId="16" fillId="0" borderId="0" xfId="2" applyNumberFormat="1" applyFont="1" applyAlignment="1">
      <alignment horizontal="left" indent="1"/>
    </xf>
    <xf numFmtId="10" fontId="16" fillId="0" borderId="0" xfId="2" applyNumberFormat="1" applyFont="1" applyAlignment="1">
      <alignment horizontal="right"/>
    </xf>
    <xf numFmtId="0" fontId="16" fillId="0" borderId="0" xfId="0" applyFont="1" applyAlignment="1">
      <alignment horizontal="center"/>
    </xf>
    <xf numFmtId="1" fontId="17" fillId="0" borderId="0" xfId="0" applyNumberFormat="1" applyFont="1" applyAlignment="1">
      <alignment horizontal="left" indent="1"/>
    </xf>
    <xf numFmtId="43" fontId="2" fillId="0" borderId="0" xfId="3" applyFont="1" applyAlignment="1">
      <alignment horizontal="left"/>
    </xf>
    <xf numFmtId="166" fontId="2" fillId="0" borderId="0" xfId="3" applyNumberFormat="1" applyFont="1" applyAlignment="1">
      <alignment horizontal="left"/>
    </xf>
    <xf numFmtId="167" fontId="2" fillId="0" borderId="0" xfId="3" applyNumberFormat="1" applyFont="1" applyAlignment="1">
      <alignment horizontal="left"/>
    </xf>
    <xf numFmtId="165" fontId="2" fillId="0" borderId="0" xfId="2" applyNumberFormat="1" applyFont="1" applyAlignment="1">
      <alignment vertical="center"/>
    </xf>
    <xf numFmtId="165" fontId="1" fillId="0" borderId="0" xfId="2" applyNumberFormat="1" applyFont="1" applyAlignment="1">
      <alignment vertical="center"/>
    </xf>
    <xf numFmtId="10" fontId="2" fillId="8" borderId="18" xfId="0" applyNumberFormat="1" applyFont="1" applyFill="1" applyBorder="1" applyAlignment="1">
      <alignment horizontal="left" wrapText="1"/>
    </xf>
    <xf numFmtId="10" fontId="2" fillId="8" borderId="14" xfId="0" applyNumberFormat="1" applyFont="1" applyFill="1" applyBorder="1" applyAlignment="1">
      <alignment horizontal="left" wrapText="1"/>
    </xf>
    <xf numFmtId="10" fontId="2" fillId="8" borderId="19" xfId="0" applyNumberFormat="1" applyFont="1" applyFill="1" applyBorder="1" applyAlignment="1">
      <alignment horizontal="left" wrapText="1"/>
    </xf>
    <xf numFmtId="10" fontId="2" fillId="8" borderId="32" xfId="0" applyNumberFormat="1" applyFont="1" applyFill="1" applyBorder="1" applyAlignment="1">
      <alignment horizontal="left" wrapText="1"/>
    </xf>
    <xf numFmtId="10" fontId="2" fillId="8" borderId="33" xfId="0" applyNumberFormat="1" applyFont="1" applyFill="1" applyBorder="1" applyAlignment="1">
      <alignment horizontal="left" wrapText="1"/>
    </xf>
    <xf numFmtId="10" fontId="2" fillId="8" borderId="34" xfId="0" applyNumberFormat="1" applyFont="1" applyFill="1" applyBorder="1" applyAlignment="1">
      <alignment horizontal="left" wrapText="1"/>
    </xf>
    <xf numFmtId="10" fontId="2" fillId="8" borderId="20" xfId="0" applyNumberFormat="1" applyFont="1" applyFill="1" applyBorder="1" applyAlignment="1">
      <alignment horizontal="left" wrapText="1"/>
    </xf>
    <xf numFmtId="10" fontId="2" fillId="8" borderId="21" xfId="0" applyNumberFormat="1" applyFont="1" applyFill="1" applyBorder="1" applyAlignment="1">
      <alignment horizontal="left" wrapText="1"/>
    </xf>
    <xf numFmtId="10" fontId="2" fillId="8" borderId="22" xfId="0" applyNumberFormat="1" applyFont="1" applyFill="1" applyBorder="1" applyAlignment="1">
      <alignment horizontal="left" wrapText="1"/>
    </xf>
    <xf numFmtId="10" fontId="2" fillId="0" borderId="18" xfId="0" applyNumberFormat="1" applyFont="1" applyBorder="1" applyAlignment="1">
      <alignment horizontal="left" wrapText="1"/>
    </xf>
    <xf numFmtId="10" fontId="2" fillId="0" borderId="14" xfId="0" applyNumberFormat="1" applyFont="1" applyBorder="1" applyAlignment="1">
      <alignment horizontal="left" wrapText="1"/>
    </xf>
    <xf numFmtId="10" fontId="2" fillId="0" borderId="19" xfId="0" applyNumberFormat="1" applyFont="1" applyBorder="1" applyAlignment="1">
      <alignment horizontal="left" wrapText="1"/>
    </xf>
    <xf numFmtId="0" fontId="22" fillId="0" borderId="0" xfId="0" applyFont="1" applyAlignment="1">
      <alignment horizontal="center" vertical="center"/>
    </xf>
    <xf numFmtId="0" fontId="2" fillId="0" borderId="0" xfId="0" applyFont="1" applyAlignment="1">
      <alignment horizontal="left" wrapText="1"/>
    </xf>
    <xf numFmtId="0" fontId="2" fillId="0" borderId="0" xfId="0" applyFont="1" applyAlignment="1">
      <alignment horizontal="left" vertical="top" wrapText="1"/>
    </xf>
    <xf numFmtId="0" fontId="2" fillId="0" borderId="0" xfId="0" applyFont="1" applyAlignment="1">
      <alignment horizontal="left" vertical="center" wrapText="1"/>
    </xf>
    <xf numFmtId="0" fontId="5" fillId="3" borderId="9" xfId="0" applyFont="1" applyFill="1" applyBorder="1" applyAlignment="1">
      <alignment horizontal="center"/>
    </xf>
    <xf numFmtId="0" fontId="5" fillId="3" borderId="10" xfId="0" applyFont="1" applyFill="1" applyBorder="1" applyAlignment="1">
      <alignment horizontal="center"/>
    </xf>
    <xf numFmtId="0" fontId="5" fillId="3" borderId="11" xfId="0" applyFont="1" applyFill="1" applyBorder="1" applyAlignment="1">
      <alignment horizontal="center"/>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1" xfId="0" applyFont="1" applyFill="1" applyBorder="1" applyAlignment="1">
      <alignment horizontal="left"/>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5" fillId="3" borderId="2" xfId="0" applyFont="1" applyFill="1" applyBorder="1" applyAlignment="1">
      <alignment horizontal="center"/>
    </xf>
    <xf numFmtId="10" fontId="2" fillId="8" borderId="4" xfId="0" applyNumberFormat="1" applyFont="1" applyFill="1" applyBorder="1" applyAlignment="1">
      <alignment horizontal="left" vertical="center" wrapText="1"/>
    </xf>
    <xf numFmtId="10" fontId="2" fillId="8" borderId="0" xfId="0" applyNumberFormat="1" applyFont="1" applyFill="1" applyAlignment="1">
      <alignment horizontal="left" vertical="center" wrapText="1"/>
    </xf>
    <xf numFmtId="10" fontId="2" fillId="8" borderId="5" xfId="0" applyNumberFormat="1" applyFont="1" applyFill="1" applyBorder="1" applyAlignment="1">
      <alignment horizontal="left" vertical="center" wrapText="1"/>
    </xf>
    <xf numFmtId="10" fontId="2" fillId="8" borderId="4" xfId="0" applyNumberFormat="1" applyFont="1" applyFill="1" applyBorder="1" applyAlignment="1">
      <alignment vertical="top" wrapText="1"/>
    </xf>
    <xf numFmtId="10" fontId="2" fillId="8" borderId="0" xfId="0" applyNumberFormat="1" applyFont="1" applyFill="1" applyAlignment="1">
      <alignment vertical="top" wrapText="1"/>
    </xf>
    <xf numFmtId="10" fontId="2" fillId="8" borderId="5" xfId="0" applyNumberFormat="1" applyFont="1" applyFill="1" applyBorder="1" applyAlignment="1">
      <alignment vertical="top" wrapText="1"/>
    </xf>
    <xf numFmtId="10" fontId="2" fillId="0" borderId="4" xfId="0" applyNumberFormat="1" applyFont="1" applyBorder="1" applyAlignment="1">
      <alignment vertical="top" wrapText="1"/>
    </xf>
    <xf numFmtId="10" fontId="2" fillId="0" borderId="0" xfId="0" applyNumberFormat="1" applyFont="1" applyAlignment="1">
      <alignment vertical="top" wrapText="1"/>
    </xf>
    <xf numFmtId="10" fontId="2" fillId="0" borderId="5" xfId="0" applyNumberFormat="1" applyFont="1" applyBorder="1" applyAlignment="1">
      <alignment vertical="top" wrapText="1"/>
    </xf>
    <xf numFmtId="10" fontId="2" fillId="8" borderId="4" xfId="0" applyNumberFormat="1" applyFont="1" applyFill="1" applyBorder="1" applyAlignment="1">
      <alignment horizontal="center"/>
    </xf>
    <xf numFmtId="10" fontId="2" fillId="8" borderId="0" xfId="0" applyNumberFormat="1" applyFont="1" applyFill="1" applyAlignment="1">
      <alignment horizontal="center"/>
    </xf>
    <xf numFmtId="10" fontId="2" fillId="8" borderId="5" xfId="0" applyNumberFormat="1" applyFont="1" applyFill="1" applyBorder="1" applyAlignment="1">
      <alignment horizontal="center"/>
    </xf>
    <xf numFmtId="10" fontId="2" fillId="0" borderId="4" xfId="0" applyNumberFormat="1" applyFont="1" applyBorder="1" applyAlignment="1">
      <alignment horizontal="left" vertical="center" wrapText="1"/>
    </xf>
    <xf numFmtId="10" fontId="2" fillId="0" borderId="0" xfId="0" applyNumberFormat="1" applyFont="1" applyAlignment="1">
      <alignment horizontal="left" vertical="center" wrapText="1"/>
    </xf>
    <xf numFmtId="10" fontId="2" fillId="0" borderId="5" xfId="0" applyNumberFormat="1" applyFont="1" applyBorder="1" applyAlignment="1">
      <alignment horizontal="left" vertical="center" wrapText="1"/>
    </xf>
    <xf numFmtId="10" fontId="2" fillId="0" borderId="4" xfId="0" applyNumberFormat="1" applyFont="1" applyBorder="1" applyAlignment="1">
      <alignment horizontal="center"/>
    </xf>
    <xf numFmtId="10" fontId="2" fillId="0" borderId="0" xfId="0" applyNumberFormat="1" applyFont="1" applyAlignment="1">
      <alignment horizontal="center"/>
    </xf>
    <xf numFmtId="10" fontId="2" fillId="0" borderId="5" xfId="0" applyNumberFormat="1" applyFont="1" applyBorder="1" applyAlignment="1">
      <alignment horizontal="center"/>
    </xf>
    <xf numFmtId="0" fontId="2" fillId="8" borderId="4" xfId="0" applyFont="1" applyFill="1" applyBorder="1" applyAlignment="1">
      <alignment horizontal="center" vertical="center"/>
    </xf>
    <xf numFmtId="0" fontId="2" fillId="8" borderId="0" xfId="0" applyFont="1" applyFill="1" applyAlignment="1">
      <alignment horizontal="center" vertical="center"/>
    </xf>
    <xf numFmtId="0" fontId="2" fillId="8" borderId="5" xfId="0" applyFont="1" applyFill="1" applyBorder="1" applyAlignment="1">
      <alignment horizontal="center" vertical="center"/>
    </xf>
    <xf numFmtId="10" fontId="2" fillId="0" borderId="6" xfId="0" applyNumberFormat="1" applyFont="1" applyBorder="1" applyAlignment="1">
      <alignment horizontal="left" vertical="center" wrapText="1"/>
    </xf>
    <xf numFmtId="10" fontId="2" fillId="0" borderId="7" xfId="0" applyNumberFormat="1" applyFont="1" applyBorder="1" applyAlignment="1">
      <alignment horizontal="left" vertical="center" wrapText="1"/>
    </xf>
    <xf numFmtId="10" fontId="2" fillId="0" borderId="8" xfId="0" applyNumberFormat="1" applyFont="1" applyBorder="1" applyAlignment="1">
      <alignment horizontal="left" vertical="center" wrapText="1"/>
    </xf>
    <xf numFmtId="10" fontId="2" fillId="0" borderId="6" xfId="0" applyNumberFormat="1" applyFont="1" applyBorder="1" applyAlignment="1">
      <alignment horizontal="center"/>
    </xf>
    <xf numFmtId="10" fontId="2" fillId="0" borderId="7" xfId="0" applyNumberFormat="1" applyFont="1" applyBorder="1" applyAlignment="1">
      <alignment horizontal="center"/>
    </xf>
    <xf numFmtId="10" fontId="2" fillId="0" borderId="8" xfId="0" applyNumberFormat="1" applyFont="1" applyBorder="1" applyAlignment="1">
      <alignment horizontal="center"/>
    </xf>
    <xf numFmtId="10" fontId="2" fillId="0" borderId="6" xfId="0" applyNumberFormat="1" applyFont="1" applyBorder="1" applyAlignment="1">
      <alignment vertical="top" wrapText="1"/>
    </xf>
    <xf numFmtId="10" fontId="2" fillId="0" borderId="7" xfId="0" applyNumberFormat="1" applyFont="1" applyBorder="1" applyAlignment="1">
      <alignment vertical="top" wrapText="1"/>
    </xf>
    <xf numFmtId="10" fontId="2" fillId="0" borderId="8" xfId="0" applyNumberFormat="1" applyFont="1" applyBorder="1" applyAlignment="1">
      <alignment vertical="top"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0" fontId="2" fillId="0" borderId="20" xfId="0" applyNumberFormat="1" applyFont="1" applyBorder="1" applyAlignment="1">
      <alignment horizontal="center" wrapText="1"/>
    </xf>
    <xf numFmtId="10" fontId="2" fillId="0" borderId="21" xfId="0" applyNumberFormat="1" applyFont="1" applyBorder="1" applyAlignment="1">
      <alignment horizontal="center" wrapText="1"/>
    </xf>
    <xf numFmtId="10" fontId="2" fillId="0" borderId="22" xfId="0" applyNumberFormat="1" applyFont="1" applyBorder="1" applyAlignment="1">
      <alignment horizontal="center" wrapText="1"/>
    </xf>
    <xf numFmtId="0" fontId="5" fillId="4" borderId="6" xfId="0" applyFont="1" applyFill="1" applyBorder="1" applyAlignment="1">
      <alignment horizontal="left" wrapText="1"/>
    </xf>
    <xf numFmtId="0" fontId="5" fillId="4" borderId="7" xfId="0" applyFont="1" applyFill="1" applyBorder="1" applyAlignment="1">
      <alignment horizontal="left" wrapText="1"/>
    </xf>
    <xf numFmtId="0" fontId="5" fillId="4" borderId="8" xfId="0" applyFont="1" applyFill="1" applyBorder="1" applyAlignment="1">
      <alignment horizontal="left" wrapText="1"/>
    </xf>
    <xf numFmtId="10" fontId="2" fillId="8" borderId="18" xfId="0" applyNumberFormat="1" applyFont="1" applyFill="1" applyBorder="1" applyAlignment="1">
      <alignment horizontal="left" vertical="center" wrapText="1"/>
    </xf>
    <xf numFmtId="10" fontId="2" fillId="8" borderId="14" xfId="0" applyNumberFormat="1" applyFont="1" applyFill="1" applyBorder="1" applyAlignment="1">
      <alignment horizontal="left" vertical="center" wrapText="1"/>
    </xf>
    <xf numFmtId="10" fontId="2" fillId="8" borderId="19" xfId="0" applyNumberFormat="1" applyFont="1" applyFill="1" applyBorder="1" applyAlignment="1">
      <alignment horizontal="left" vertical="center" wrapText="1"/>
    </xf>
    <xf numFmtId="10" fontId="2" fillId="0" borderId="18" xfId="0" applyNumberFormat="1" applyFont="1" applyBorder="1" applyAlignment="1">
      <alignment horizontal="left" vertical="center" wrapText="1"/>
    </xf>
    <xf numFmtId="10" fontId="2" fillId="0" borderId="14" xfId="0" applyNumberFormat="1" applyFont="1" applyBorder="1" applyAlignment="1">
      <alignment horizontal="left" vertical="center" wrapText="1"/>
    </xf>
    <xf numFmtId="10" fontId="2" fillId="0" borderId="19" xfId="0" applyNumberFormat="1" applyFont="1" applyBorder="1" applyAlignment="1">
      <alignment horizontal="left" vertical="center" wrapText="1"/>
    </xf>
    <xf numFmtId="10" fontId="2" fillId="0" borderId="20" xfId="0" applyNumberFormat="1" applyFont="1" applyBorder="1" applyAlignment="1">
      <alignment horizontal="left" vertical="center" wrapText="1"/>
    </xf>
    <xf numFmtId="10" fontId="2" fillId="0" borderId="21" xfId="0" applyNumberFormat="1" applyFont="1" applyBorder="1" applyAlignment="1">
      <alignment horizontal="left" vertical="center" wrapText="1"/>
    </xf>
    <xf numFmtId="10" fontId="2" fillId="0" borderId="22" xfId="0" applyNumberFormat="1" applyFont="1" applyBorder="1" applyAlignment="1">
      <alignment horizontal="left" vertical="center" wrapText="1"/>
    </xf>
    <xf numFmtId="0" fontId="5" fillId="4" borderId="4" xfId="0" applyFont="1" applyFill="1" applyBorder="1" applyAlignment="1">
      <alignment horizontal="left" vertical="center" wrapText="1"/>
    </xf>
    <xf numFmtId="0" fontId="5" fillId="4" borderId="0" xfId="0" applyFont="1" applyFill="1" applyAlignment="1">
      <alignment horizontal="left" vertical="center" wrapText="1"/>
    </xf>
    <xf numFmtId="0" fontId="5" fillId="4" borderId="5" xfId="0" applyFont="1" applyFill="1" applyBorder="1" applyAlignment="1">
      <alignment horizontal="left" vertical="center" wrapText="1"/>
    </xf>
    <xf numFmtId="10" fontId="21" fillId="8" borderId="18" xfId="1" applyNumberFormat="1" applyFont="1" applyFill="1" applyBorder="1" applyAlignment="1">
      <alignment horizontal="left" wrapText="1"/>
    </xf>
    <xf numFmtId="10" fontId="21" fillId="8" borderId="14" xfId="1" applyNumberFormat="1" applyFont="1" applyFill="1" applyBorder="1" applyAlignment="1">
      <alignment horizontal="left" wrapText="1"/>
    </xf>
    <xf numFmtId="10" fontId="12" fillId="8" borderId="14" xfId="0" applyNumberFormat="1" applyFont="1" applyFill="1" applyBorder="1" applyAlignment="1">
      <alignment horizontal="left" wrapText="1"/>
    </xf>
    <xf numFmtId="10" fontId="12" fillId="8" borderId="19" xfId="0" applyNumberFormat="1" applyFont="1" applyFill="1" applyBorder="1" applyAlignment="1">
      <alignment horizontal="left" wrapText="1"/>
    </xf>
    <xf numFmtId="10" fontId="2" fillId="0" borderId="18" xfId="0" applyNumberFormat="1" applyFont="1" applyBorder="1" applyAlignment="1">
      <alignment horizontal="left" vertical="top" wrapText="1"/>
    </xf>
    <xf numFmtId="10" fontId="2" fillId="0" borderId="14" xfId="0" applyNumberFormat="1" applyFont="1" applyBorder="1" applyAlignment="1">
      <alignment horizontal="left" vertical="top" wrapText="1"/>
    </xf>
    <xf numFmtId="10" fontId="2" fillId="0" borderId="19" xfId="0" applyNumberFormat="1" applyFont="1" applyBorder="1" applyAlignment="1">
      <alignment horizontal="left" vertical="top" wrapText="1"/>
    </xf>
    <xf numFmtId="10" fontId="2" fillId="0" borderId="15" xfId="0" applyNumberFormat="1" applyFont="1" applyBorder="1" applyAlignment="1">
      <alignment horizontal="left" wrapText="1"/>
    </xf>
    <xf numFmtId="10" fontId="2" fillId="0" borderId="16" xfId="0" applyNumberFormat="1" applyFont="1" applyBorder="1" applyAlignment="1">
      <alignment horizontal="left" wrapText="1"/>
    </xf>
    <xf numFmtId="10" fontId="2" fillId="0" borderId="17" xfId="0" applyNumberFormat="1" applyFont="1" applyBorder="1" applyAlignment="1">
      <alignment horizontal="left" wrapText="1"/>
    </xf>
    <xf numFmtId="10" fontId="2" fillId="0" borderId="18" xfId="0" applyNumberFormat="1" applyFont="1" applyBorder="1" applyAlignment="1">
      <alignment horizontal="left" vertical="center"/>
    </xf>
    <xf numFmtId="10" fontId="2" fillId="0" borderId="14" xfId="0" applyNumberFormat="1" applyFont="1" applyBorder="1" applyAlignment="1">
      <alignment horizontal="left" vertical="center"/>
    </xf>
    <xf numFmtId="10" fontId="2" fillId="0" borderId="19" xfId="0" applyNumberFormat="1" applyFont="1" applyBorder="1" applyAlignment="1">
      <alignment horizontal="left" vertical="center"/>
    </xf>
    <xf numFmtId="10" fontId="2" fillId="8" borderId="18" xfId="0" applyNumberFormat="1" applyFont="1" applyFill="1" applyBorder="1" applyAlignment="1">
      <alignment horizontal="left" vertical="center"/>
    </xf>
    <xf numFmtId="10" fontId="2" fillId="8" borderId="14" xfId="0" applyNumberFormat="1" applyFont="1" applyFill="1" applyBorder="1" applyAlignment="1">
      <alignment horizontal="left" vertical="center"/>
    </xf>
    <xf numFmtId="10" fontId="2" fillId="8" borderId="19" xfId="0" applyNumberFormat="1" applyFont="1" applyFill="1" applyBorder="1" applyAlignment="1">
      <alignment horizontal="left" vertical="center"/>
    </xf>
    <xf numFmtId="10" fontId="2" fillId="0" borderId="15" xfId="0" applyNumberFormat="1" applyFont="1" applyBorder="1" applyAlignment="1">
      <alignment horizontal="left" vertical="center" wrapText="1"/>
    </xf>
    <xf numFmtId="10" fontId="2" fillId="0" borderId="16" xfId="0" applyNumberFormat="1" applyFont="1" applyBorder="1" applyAlignment="1">
      <alignment horizontal="left" vertical="center" wrapText="1"/>
    </xf>
    <xf numFmtId="10" fontId="2" fillId="0" borderId="17" xfId="0" applyNumberFormat="1" applyFont="1" applyBorder="1" applyAlignment="1">
      <alignment horizontal="left" vertical="center" wrapText="1"/>
    </xf>
    <xf numFmtId="10" fontId="2" fillId="0" borderId="15" xfId="0" applyNumberFormat="1" applyFont="1" applyBorder="1" applyAlignment="1">
      <alignment horizontal="left" vertical="top" wrapText="1"/>
    </xf>
    <xf numFmtId="10" fontId="2" fillId="0" borderId="16" xfId="0" applyNumberFormat="1" applyFont="1" applyBorder="1" applyAlignment="1">
      <alignment horizontal="left" vertical="top" wrapText="1"/>
    </xf>
    <xf numFmtId="10" fontId="2" fillId="0" borderId="17" xfId="0" applyNumberFormat="1" applyFont="1" applyBorder="1" applyAlignment="1">
      <alignment horizontal="left" vertical="top" wrapText="1"/>
    </xf>
    <xf numFmtId="0" fontId="2" fillId="8" borderId="18" xfId="0" applyFont="1" applyFill="1" applyBorder="1" applyAlignment="1">
      <alignment horizontal="left" vertical="center" wrapText="1"/>
    </xf>
    <xf numFmtId="0" fontId="2" fillId="8" borderId="19" xfId="0" applyFont="1" applyFill="1" applyBorder="1" applyAlignment="1">
      <alignment horizontal="lef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8" borderId="18" xfId="0" applyFont="1" applyFill="1" applyBorder="1" applyAlignment="1">
      <alignment horizontal="center" vertical="center"/>
    </xf>
    <xf numFmtId="0" fontId="2" fillId="8" borderId="19" xfId="0" applyFont="1" applyFill="1" applyBorder="1" applyAlignment="1">
      <alignment horizontal="center" vertical="center"/>
    </xf>
    <xf numFmtId="10" fontId="5" fillId="4" borderId="1" xfId="0" applyNumberFormat="1" applyFont="1" applyFill="1" applyBorder="1" applyAlignment="1">
      <alignment horizontal="left" vertical="center" wrapText="1"/>
    </xf>
    <xf numFmtId="10" fontId="5" fillId="4" borderId="2" xfId="0" applyNumberFormat="1" applyFont="1" applyFill="1" applyBorder="1" applyAlignment="1">
      <alignment horizontal="left" vertical="center" wrapText="1"/>
    </xf>
    <xf numFmtId="10" fontId="5" fillId="4" borderId="3" xfId="0" applyNumberFormat="1" applyFont="1" applyFill="1" applyBorder="1" applyAlignment="1">
      <alignment horizontal="left" vertical="center" wrapText="1"/>
    </xf>
    <xf numFmtId="10" fontId="2" fillId="8" borderId="18" xfId="0" applyNumberFormat="1" applyFont="1" applyFill="1" applyBorder="1" applyAlignment="1">
      <alignment horizontal="left" vertical="top" wrapText="1"/>
    </xf>
    <xf numFmtId="10" fontId="2" fillId="8" borderId="14" xfId="0" applyNumberFormat="1" applyFont="1" applyFill="1" applyBorder="1" applyAlignment="1">
      <alignment horizontal="left" vertical="top" wrapText="1"/>
    </xf>
    <xf numFmtId="10" fontId="2" fillId="8" borderId="19" xfId="0" applyNumberFormat="1" applyFont="1" applyFill="1" applyBorder="1" applyAlignment="1">
      <alignment horizontal="left" vertical="top" wrapText="1"/>
    </xf>
    <xf numFmtId="0" fontId="2" fillId="0" borderId="6" xfId="0" applyFont="1" applyBorder="1" applyAlignment="1">
      <alignment horizontal="left" vertical="center" wrapText="1"/>
    </xf>
    <xf numFmtId="0" fontId="2" fillId="0" borderId="8" xfId="0" applyFont="1" applyBorder="1" applyAlignment="1">
      <alignment horizontal="left" vertical="center"/>
    </xf>
    <xf numFmtId="49" fontId="2" fillId="0" borderId="15" xfId="0" applyNumberFormat="1" applyFont="1" applyBorder="1" applyAlignment="1">
      <alignment horizontal="left" vertical="top" wrapText="1"/>
    </xf>
    <xf numFmtId="49" fontId="2" fillId="0" borderId="16" xfId="0" applyNumberFormat="1" applyFont="1" applyBorder="1" applyAlignment="1">
      <alignment horizontal="left" vertical="top" wrapText="1"/>
    </xf>
    <xf numFmtId="49" fontId="2" fillId="0" borderId="17" xfId="0" applyNumberFormat="1" applyFont="1" applyBorder="1" applyAlignment="1">
      <alignment horizontal="left" vertical="top" wrapText="1"/>
    </xf>
    <xf numFmtId="10" fontId="13" fillId="0" borderId="15" xfId="1" applyNumberFormat="1" applyFont="1" applyBorder="1" applyAlignment="1">
      <alignment horizontal="left" vertical="top" wrapText="1"/>
    </xf>
    <xf numFmtId="10" fontId="12" fillId="0" borderId="16" xfId="0" applyNumberFormat="1" applyFont="1" applyBorder="1" applyAlignment="1">
      <alignment horizontal="left" vertical="top" wrapText="1"/>
    </xf>
    <xf numFmtId="10" fontId="12" fillId="0" borderId="17" xfId="0" applyNumberFormat="1" applyFont="1" applyBorder="1" applyAlignment="1">
      <alignment horizontal="left" vertical="top" wrapText="1"/>
    </xf>
    <xf numFmtId="10" fontId="13" fillId="8" borderId="32" xfId="1" applyNumberFormat="1" applyFont="1" applyFill="1" applyBorder="1" applyAlignment="1">
      <alignment horizontal="left" vertical="top" wrapText="1"/>
    </xf>
    <xf numFmtId="10" fontId="12" fillId="8" borderId="33" xfId="0" applyNumberFormat="1" applyFont="1" applyFill="1" applyBorder="1" applyAlignment="1">
      <alignment horizontal="left" vertical="top" wrapText="1"/>
    </xf>
    <xf numFmtId="10" fontId="12" fillId="8" borderId="34" xfId="0" applyNumberFormat="1" applyFont="1" applyFill="1" applyBorder="1" applyAlignment="1">
      <alignment horizontal="left" vertical="top" wrapText="1"/>
    </xf>
    <xf numFmtId="49" fontId="2" fillId="0" borderId="18" xfId="0" applyNumberFormat="1" applyFont="1" applyBorder="1" applyAlignment="1">
      <alignment horizontal="left" vertical="top" wrapText="1"/>
    </xf>
    <xf numFmtId="49" fontId="2" fillId="0" borderId="14" xfId="0" applyNumberFormat="1" applyFont="1" applyBorder="1" applyAlignment="1">
      <alignment horizontal="left" vertical="top" wrapText="1"/>
    </xf>
    <xf numFmtId="49" fontId="2" fillId="0" borderId="19" xfId="0" applyNumberFormat="1" applyFont="1" applyBorder="1" applyAlignment="1">
      <alignment horizontal="left" vertical="top" wrapText="1"/>
    </xf>
    <xf numFmtId="10" fontId="13" fillId="8" borderId="30" xfId="1" applyNumberFormat="1" applyFont="1" applyFill="1" applyBorder="1" applyAlignment="1">
      <alignment horizontal="left" vertical="top" wrapText="1"/>
    </xf>
    <xf numFmtId="10" fontId="12" fillId="8" borderId="28" xfId="0" applyNumberFormat="1" applyFont="1" applyFill="1" applyBorder="1" applyAlignment="1">
      <alignment horizontal="left" vertical="top" wrapText="1"/>
    </xf>
    <xf numFmtId="10" fontId="12" fillId="8" borderId="29" xfId="0" applyNumberFormat="1" applyFont="1" applyFill="1" applyBorder="1" applyAlignment="1">
      <alignment horizontal="left" vertical="top" wrapText="1"/>
    </xf>
    <xf numFmtId="10" fontId="13" fillId="0" borderId="18" xfId="1" applyNumberFormat="1" applyFont="1" applyBorder="1" applyAlignment="1">
      <alignment horizontal="left" vertical="top" wrapText="1"/>
    </xf>
    <xf numFmtId="10" fontId="12" fillId="0" borderId="14" xfId="0" applyNumberFormat="1" applyFont="1" applyBorder="1" applyAlignment="1">
      <alignment horizontal="left" vertical="top" wrapText="1"/>
    </xf>
    <xf numFmtId="10" fontId="12" fillId="0" borderId="19" xfId="0" applyNumberFormat="1" applyFont="1" applyBorder="1" applyAlignment="1">
      <alignment horizontal="left" vertical="top" wrapText="1"/>
    </xf>
    <xf numFmtId="49" fontId="2" fillId="8" borderId="30" xfId="0" applyNumberFormat="1" applyFont="1" applyFill="1" applyBorder="1" applyAlignment="1">
      <alignment horizontal="left" vertical="top" wrapText="1"/>
    </xf>
    <xf numFmtId="49" fontId="2" fillId="8" borderId="28" xfId="0" applyNumberFormat="1" applyFont="1" applyFill="1" applyBorder="1" applyAlignment="1">
      <alignment horizontal="left" vertical="top" wrapText="1"/>
    </xf>
    <xf numFmtId="49" fontId="2" fillId="8" borderId="29" xfId="0" applyNumberFormat="1" applyFont="1" applyFill="1" applyBorder="1" applyAlignment="1">
      <alignment horizontal="left" vertical="top" wrapText="1"/>
    </xf>
    <xf numFmtId="10" fontId="2" fillId="8" borderId="30" xfId="0" applyNumberFormat="1" applyFont="1" applyFill="1" applyBorder="1" applyAlignment="1">
      <alignment horizontal="left" vertical="top" wrapText="1"/>
    </xf>
    <xf numFmtId="10" fontId="2" fillId="8" borderId="28" xfId="0" applyNumberFormat="1" applyFont="1" applyFill="1" applyBorder="1" applyAlignment="1">
      <alignment horizontal="left" vertical="top" wrapText="1"/>
    </xf>
    <xf numFmtId="10" fontId="2" fillId="8" borderId="29" xfId="0" applyNumberFormat="1" applyFont="1" applyFill="1" applyBorder="1" applyAlignment="1">
      <alignment horizontal="left" vertical="top" wrapText="1"/>
    </xf>
    <xf numFmtId="10" fontId="13" fillId="0" borderId="20" xfId="1" applyNumberFormat="1" applyFont="1" applyBorder="1" applyAlignment="1">
      <alignment horizontal="left" vertical="top" wrapText="1"/>
    </xf>
    <xf numFmtId="10" fontId="13" fillId="0" borderId="21" xfId="1" applyNumberFormat="1" applyFont="1" applyBorder="1" applyAlignment="1">
      <alignment horizontal="left" vertical="top" wrapText="1"/>
    </xf>
    <xf numFmtId="10" fontId="13" fillId="0" borderId="22" xfId="1" applyNumberFormat="1" applyFont="1" applyBorder="1" applyAlignment="1">
      <alignment horizontal="left" vertical="top" wrapText="1"/>
    </xf>
    <xf numFmtId="49" fontId="2" fillId="8" borderId="32" xfId="0" applyNumberFormat="1" applyFont="1" applyFill="1" applyBorder="1" applyAlignment="1">
      <alignment horizontal="left" vertical="top" wrapText="1"/>
    </xf>
    <xf numFmtId="49" fontId="2" fillId="8" borderId="33" xfId="0" applyNumberFormat="1" applyFont="1" applyFill="1" applyBorder="1" applyAlignment="1">
      <alignment horizontal="left" vertical="top" wrapText="1"/>
    </xf>
    <xf numFmtId="49" fontId="2" fillId="8" borderId="34" xfId="0" applyNumberFormat="1" applyFont="1" applyFill="1" applyBorder="1" applyAlignment="1">
      <alignment horizontal="left" vertical="top" wrapText="1"/>
    </xf>
    <xf numFmtId="10" fontId="13" fillId="8" borderId="18" xfId="1" applyNumberFormat="1" applyFont="1" applyFill="1" applyBorder="1" applyAlignment="1">
      <alignment horizontal="left" vertical="top" wrapText="1"/>
    </xf>
    <xf numFmtId="10" fontId="12" fillId="8" borderId="14" xfId="0" applyNumberFormat="1" applyFont="1" applyFill="1" applyBorder="1" applyAlignment="1">
      <alignment horizontal="left" vertical="top" wrapText="1"/>
    </xf>
    <xf numFmtId="10" fontId="12" fillId="8" borderId="19" xfId="0" applyNumberFormat="1" applyFont="1" applyFill="1" applyBorder="1" applyAlignment="1">
      <alignment horizontal="left" vertical="top" wrapText="1"/>
    </xf>
    <xf numFmtId="49" fontId="2" fillId="8" borderId="18" xfId="0" applyNumberFormat="1" applyFont="1" applyFill="1" applyBorder="1" applyAlignment="1">
      <alignment horizontal="left" vertical="top" wrapText="1"/>
    </xf>
    <xf numFmtId="49" fontId="2" fillId="8" borderId="14" xfId="0" applyNumberFormat="1" applyFont="1" applyFill="1" applyBorder="1" applyAlignment="1">
      <alignment horizontal="left" vertical="top" wrapText="1"/>
    </xf>
    <xf numFmtId="49" fontId="2" fillId="8" borderId="19" xfId="0" applyNumberFormat="1" applyFont="1" applyFill="1" applyBorder="1" applyAlignment="1">
      <alignment horizontal="left" vertical="top" wrapText="1"/>
    </xf>
    <xf numFmtId="49" fontId="2" fillId="0" borderId="20" xfId="0" applyNumberFormat="1" applyFont="1" applyBorder="1" applyAlignment="1">
      <alignment horizontal="left" vertical="top" wrapText="1"/>
    </xf>
    <xf numFmtId="49" fontId="2" fillId="0" borderId="21" xfId="0" applyNumberFormat="1" applyFont="1" applyBorder="1" applyAlignment="1">
      <alignment horizontal="left" vertical="top" wrapText="1"/>
    </xf>
    <xf numFmtId="49" fontId="2" fillId="0" borderId="22" xfId="0" applyNumberFormat="1" applyFont="1" applyBorder="1" applyAlignment="1">
      <alignment horizontal="left" vertical="top" wrapText="1"/>
    </xf>
    <xf numFmtId="10" fontId="2" fillId="8" borderId="32" xfId="0" applyNumberFormat="1" applyFont="1" applyFill="1" applyBorder="1" applyAlignment="1">
      <alignment horizontal="left" vertical="center" wrapText="1"/>
    </xf>
    <xf numFmtId="10" fontId="2" fillId="8" borderId="33" xfId="0" applyNumberFormat="1" applyFont="1" applyFill="1" applyBorder="1" applyAlignment="1">
      <alignment horizontal="left" vertical="center" wrapText="1"/>
    </xf>
    <xf numFmtId="10" fontId="2" fillId="8" borderId="34" xfId="0" applyNumberFormat="1" applyFont="1" applyFill="1" applyBorder="1" applyAlignment="1">
      <alignment horizontal="left" vertical="center" wrapText="1"/>
    </xf>
    <xf numFmtId="49" fontId="2" fillId="0" borderId="6"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8" borderId="30" xfId="0" applyNumberFormat="1" applyFont="1" applyFill="1" applyBorder="1" applyAlignment="1">
      <alignment horizontal="center" vertical="center"/>
    </xf>
    <xf numFmtId="49" fontId="2" fillId="8" borderId="29" xfId="0" applyNumberFormat="1" applyFont="1" applyFill="1" applyBorder="1" applyAlignment="1">
      <alignment horizontal="center" vertical="center"/>
    </xf>
    <xf numFmtId="0" fontId="5" fillId="4" borderId="4" xfId="0" applyFont="1" applyFill="1" applyBorder="1" applyAlignment="1">
      <alignment horizontal="left" vertical="center"/>
    </xf>
    <xf numFmtId="0" fontId="5" fillId="4" borderId="0" xfId="0" applyFont="1" applyFill="1" applyAlignment="1">
      <alignment horizontal="left" vertical="center"/>
    </xf>
    <xf numFmtId="0" fontId="5" fillId="4" borderId="5" xfId="0" applyFont="1" applyFill="1" applyBorder="1" applyAlignment="1">
      <alignment horizontal="left" vertical="center"/>
    </xf>
    <xf numFmtId="49" fontId="2" fillId="0" borderId="15"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8" borderId="32" xfId="0" applyNumberFormat="1" applyFont="1" applyFill="1" applyBorder="1" applyAlignment="1">
      <alignment horizontal="center" vertical="center"/>
    </xf>
    <xf numFmtId="49" fontId="2" fillId="8" borderId="34" xfId="0" applyNumberFormat="1" applyFont="1" applyFill="1" applyBorder="1" applyAlignment="1">
      <alignment horizontal="center" vertical="center"/>
    </xf>
    <xf numFmtId="49" fontId="2" fillId="8" borderId="18" xfId="0" applyNumberFormat="1" applyFont="1" applyFill="1" applyBorder="1" applyAlignment="1">
      <alignment horizontal="center" vertical="center"/>
    </xf>
    <xf numFmtId="49" fontId="2" fillId="8" borderId="19" xfId="0" applyNumberFormat="1" applyFont="1" applyFill="1" applyBorder="1" applyAlignment="1">
      <alignment horizontal="center" vertical="center"/>
    </xf>
  </cellXfs>
  <cellStyles count="4">
    <cellStyle name="Comma" xfId="3" builtinId="3"/>
    <cellStyle name="Hyperlink" xfId="1" builtinId="8"/>
    <cellStyle name="Normal" xfId="0" builtinId="0"/>
    <cellStyle name="Percent" xfId="2" builtinId="5"/>
  </cellStyles>
  <dxfs count="15">
    <dxf>
      <font>
        <b/>
        <i val="0"/>
        <color theme="0"/>
      </font>
      <fill>
        <patternFill>
          <bgColor rgb="FF5A8C38"/>
        </patternFill>
      </fill>
    </dxf>
    <dxf>
      <font>
        <b/>
        <i val="0"/>
        <color theme="0"/>
      </font>
      <fill>
        <patternFill>
          <bgColor rgb="FF00CC66"/>
        </patternFill>
      </fill>
    </dxf>
    <dxf>
      <font>
        <b/>
        <i val="0"/>
        <color theme="1"/>
      </font>
      <fill>
        <patternFill>
          <bgColor rgb="FFEBE600"/>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rgb="FF00CC66"/>
        </patternFill>
      </fill>
    </dxf>
    <dxf>
      <font>
        <b/>
        <i val="0"/>
        <color theme="1"/>
      </font>
      <fill>
        <patternFill>
          <bgColor rgb="FFEBE600"/>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rgb="FF00CC66"/>
        </patternFill>
      </fill>
    </dxf>
    <dxf>
      <font>
        <b/>
        <i val="0"/>
        <color theme="1"/>
      </font>
      <fill>
        <patternFill>
          <bgColor rgb="FFEBE600"/>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F469"/>
      <color rgb="FFEBE600"/>
      <color rgb="FFDDDDDD"/>
      <color rgb="FF00CC66"/>
      <color rgb="FF99CCFF"/>
      <color rgb="FFFF8989"/>
      <color rgb="FFFF5B5B"/>
      <color rgb="FF15FF7F"/>
      <color rgb="FF66CCFF"/>
      <color rgb="FF1453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a:t>(PEN) Quarterly Ttl Revenues, Net Income, Free Cash Flows (in $ millions)</a:t>
            </a:r>
          </a:p>
        </c:rich>
      </c:tx>
      <c:layout>
        <c:manualLayout>
          <c:xMode val="edge"/>
          <c:yMode val="edge"/>
          <c:x val="0.26671480009838944"/>
          <c:y val="1.7254901427978957E-2"/>
        </c:manualLayout>
      </c:layout>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endParaRPr lang="en-US"/>
        </a:p>
      </c:txPr>
    </c:title>
    <c:autoTitleDeleted val="0"/>
    <c:plotArea>
      <c:layout>
        <c:manualLayout>
          <c:layoutTarget val="inner"/>
          <c:xMode val="edge"/>
          <c:yMode val="edge"/>
          <c:x val="6.3958258032719872E-2"/>
          <c:y val="0.11478174751218337"/>
          <c:w val="0.9152663386289418"/>
          <c:h val="0.75563693032380408"/>
        </c:manualLayout>
      </c:layout>
      <c:barChart>
        <c:barDir val="col"/>
        <c:grouping val="clustered"/>
        <c:varyColors val="0"/>
        <c:ser>
          <c:idx val="1"/>
          <c:order val="1"/>
          <c:tx>
            <c:v>Net Income</c:v>
          </c:tx>
          <c:spPr>
            <a:solidFill>
              <a:srgbClr val="00B050"/>
            </a:solidFill>
            <a:ln>
              <a:solidFill>
                <a:srgbClr val="00B050"/>
              </a:solidFill>
            </a:ln>
            <a:effectLst/>
          </c:spPr>
          <c:invertIfNegative val="0"/>
          <c:cat>
            <c:strRef>
              <c:f>'Base Case (55%)'!$S$3:$AQ$3</c:f>
              <c:strCache>
                <c:ptCount val="25"/>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strCache>
            </c:strRef>
          </c:cat>
          <c:val>
            <c:numRef>
              <c:f>'Base Case (55%)'!$S$39:$AV$39</c:f>
              <c:numCache>
                <c:formatCode>0.0</c:formatCode>
                <c:ptCount val="30"/>
                <c:pt idx="0">
                  <c:v>10.698</c:v>
                </c:pt>
                <c:pt idx="1">
                  <c:v>16.785999999999987</c:v>
                </c:pt>
                <c:pt idx="2">
                  <c:v>11.483000000000001</c:v>
                </c:pt>
                <c:pt idx="3">
                  <c:v>9.4890000000000985</c:v>
                </c:pt>
                <c:pt idx="4">
                  <c:v>1.5160000000000133</c:v>
                </c:pt>
                <c:pt idx="5">
                  <c:v>-11.940000000000015</c:v>
                </c:pt>
                <c:pt idx="6">
                  <c:v>-8.833000000000002</c:v>
                </c:pt>
                <c:pt idx="7">
                  <c:v>3.6550000000000091</c:v>
                </c:pt>
                <c:pt idx="8">
                  <c:v>11.832000000000003</c:v>
                </c:pt>
                <c:pt idx="9">
                  <c:v>9.2550000000000221</c:v>
                </c:pt>
                <c:pt idx="10">
                  <c:v>8.841999999999981</c:v>
                </c:pt>
                <c:pt idx="11">
                  <c:v>-24.665000000000081</c:v>
                </c:pt>
                <c:pt idx="12">
                  <c:v>7.1999999999997399E-2</c:v>
                </c:pt>
                <c:pt idx="13">
                  <c:v>-3.6640000000000068</c:v>
                </c:pt>
                <c:pt idx="14">
                  <c:v>-2.2800000000000034</c:v>
                </c:pt>
                <c:pt idx="15">
                  <c:v>3.869999999999949</c:v>
                </c:pt>
                <c:pt idx="16">
                  <c:v>8.6040000000000401</c:v>
                </c:pt>
                <c:pt idx="17">
                  <c:v>19.100000000000001</c:v>
                </c:pt>
                <c:pt idx="18">
                  <c:v>9.2099999999999937</c:v>
                </c:pt>
                <c:pt idx="19">
                  <c:v>54.096000000000032</c:v>
                </c:pt>
                <c:pt idx="20">
                  <c:v>11.099999999999989</c:v>
                </c:pt>
                <c:pt idx="21">
                  <c:v>-60.200000000000038</c:v>
                </c:pt>
                <c:pt idx="22">
                  <c:v>29.500000000000032</c:v>
                </c:pt>
                <c:pt idx="23">
                  <c:v>33.590000000000003</c:v>
                </c:pt>
                <c:pt idx="24">
                  <c:v>39.222999999999999</c:v>
                </c:pt>
                <c:pt idx="25">
                  <c:v>45.27</c:v>
                </c:pt>
                <c:pt idx="26">
                  <c:v>45.850999999999999</c:v>
                </c:pt>
                <c:pt idx="27">
                  <c:v>47.342999999999947</c:v>
                </c:pt>
                <c:pt idx="28">
                  <c:v>32.58400000000001</c:v>
                </c:pt>
                <c:pt idx="29">
                  <c:v>34.810999999999986</c:v>
                </c:pt>
              </c:numCache>
            </c:numRef>
          </c:val>
          <c:extLst>
            <c:ext xmlns:c16="http://schemas.microsoft.com/office/drawing/2014/chart" uri="{C3380CC4-5D6E-409C-BE32-E72D297353CC}">
              <c16:uniqueId val="{00000001-6B6D-4618-9F11-6C09556F4461}"/>
            </c:ext>
          </c:extLst>
        </c:ser>
        <c:ser>
          <c:idx val="2"/>
          <c:order val="2"/>
          <c:tx>
            <c:v>FCF</c:v>
          </c:tx>
          <c:spPr>
            <a:solidFill>
              <a:srgbClr val="FFC000"/>
            </a:solidFill>
            <a:ln>
              <a:solidFill>
                <a:srgbClr val="FFC000"/>
              </a:solidFill>
            </a:ln>
            <a:effectLst/>
          </c:spPr>
          <c:invertIfNegative val="0"/>
          <c:cat>
            <c:strRef>
              <c:f>'Base Case (55%)'!$S$3:$AQ$3</c:f>
              <c:strCache>
                <c:ptCount val="25"/>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pt idx="18">
                  <c:v>Q3 2023</c:v>
                </c:pt>
                <c:pt idx="19">
                  <c:v>Q4 2023</c:v>
                </c:pt>
                <c:pt idx="20">
                  <c:v>Q1 2024</c:v>
                </c:pt>
                <c:pt idx="21">
                  <c:v>Q2 2024</c:v>
                </c:pt>
                <c:pt idx="22">
                  <c:v>Q3 2024</c:v>
                </c:pt>
                <c:pt idx="23">
                  <c:v>Q4 2024</c:v>
                </c:pt>
                <c:pt idx="24">
                  <c:v>Q1 2025</c:v>
                </c:pt>
              </c:strCache>
            </c:strRef>
          </c:cat>
          <c:val>
            <c:numRef>
              <c:f>'Base Case (55%)'!$S$87:$AV$87</c:f>
              <c:numCache>
                <c:formatCode>0.0</c:formatCode>
                <c:ptCount val="30"/>
                <c:pt idx="0">
                  <c:v>-4.5999999999999996</c:v>
                </c:pt>
                <c:pt idx="1">
                  <c:v>-1.8000000000000003</c:v>
                </c:pt>
                <c:pt idx="2">
                  <c:v>14.1</c:v>
                </c:pt>
                <c:pt idx="3">
                  <c:v>-3.2</c:v>
                </c:pt>
                <c:pt idx="4">
                  <c:v>-16.051000000000002</c:v>
                </c:pt>
                <c:pt idx="5">
                  <c:v>-28.408000000000001</c:v>
                </c:pt>
                <c:pt idx="6">
                  <c:v>-7.7029999999999959</c:v>
                </c:pt>
                <c:pt idx="7">
                  <c:v>-5.8359999999999985</c:v>
                </c:pt>
                <c:pt idx="8">
                  <c:v>-18.359000000000002</c:v>
                </c:pt>
                <c:pt idx="9">
                  <c:v>-6.6050000000000004</c:v>
                </c:pt>
                <c:pt idx="10">
                  <c:v>30.648000000000003</c:v>
                </c:pt>
                <c:pt idx="11">
                  <c:v>-17.362000000000002</c:v>
                </c:pt>
                <c:pt idx="12">
                  <c:v>-9.4710000000000001</c:v>
                </c:pt>
                <c:pt idx="13">
                  <c:v>-44.005999999999993</c:v>
                </c:pt>
                <c:pt idx="14">
                  <c:v>-19.256999999999998</c:v>
                </c:pt>
                <c:pt idx="15">
                  <c:v>-2.2250000000000014</c:v>
                </c:pt>
                <c:pt idx="16">
                  <c:v>9.2349999999999994</c:v>
                </c:pt>
                <c:pt idx="17">
                  <c:v>12.757000000000003</c:v>
                </c:pt>
                <c:pt idx="18">
                  <c:v>26.512</c:v>
                </c:pt>
                <c:pt idx="19">
                  <c:v>32.615999999999993</c:v>
                </c:pt>
                <c:pt idx="20">
                  <c:v>32.471000000000004</c:v>
                </c:pt>
                <c:pt idx="21">
                  <c:v>18.074999999999996</c:v>
                </c:pt>
                <c:pt idx="22">
                  <c:v>51.016000000000005</c:v>
                </c:pt>
                <c:pt idx="23">
                  <c:v>45.736999999999995</c:v>
                </c:pt>
                <c:pt idx="24">
                  <c:v>35.503</c:v>
                </c:pt>
                <c:pt idx="25">
                  <c:v>29.366999999999997</c:v>
                </c:pt>
                <c:pt idx="26">
                  <c:v>42.013999999999996</c:v>
                </c:pt>
                <c:pt idx="27">
                  <c:v>68.050000000000011</c:v>
                </c:pt>
                <c:pt idx="28">
                  <c:v>73.299000000000007</c:v>
                </c:pt>
                <c:pt idx="29">
                  <c:v>32.542000000000002</c:v>
                </c:pt>
              </c:numCache>
            </c:numRef>
          </c:val>
          <c:extLst>
            <c:ext xmlns:c16="http://schemas.microsoft.com/office/drawing/2014/chart" uri="{C3380CC4-5D6E-409C-BE32-E72D297353CC}">
              <c16:uniqueId val="{00000002-6B6D-4618-9F11-6C09556F4461}"/>
            </c:ext>
          </c:extLst>
        </c:ser>
        <c:dLbls>
          <c:showLegendKey val="0"/>
          <c:showVal val="0"/>
          <c:showCatName val="0"/>
          <c:showSerName val="0"/>
          <c:showPercent val="0"/>
          <c:showBubbleSize val="0"/>
        </c:dLbls>
        <c:gapWidth val="57"/>
        <c:overlap val="-9"/>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'Base Case (55%)'!$S$1:$AV$1</c:f>
              <c:strCache>
                <c:ptCount val="29"/>
                <c:pt idx="0">
                  <c:v>Q1 2019</c:v>
                </c:pt>
                <c:pt idx="4">
                  <c:v>Q1 2020</c:v>
                </c:pt>
                <c:pt idx="8">
                  <c:v>Q1 2021</c:v>
                </c:pt>
                <c:pt idx="12">
                  <c:v>Q1 2022</c:v>
                </c:pt>
                <c:pt idx="16">
                  <c:v>Q1 2023</c:v>
                </c:pt>
                <c:pt idx="20">
                  <c:v>Q1 2024</c:v>
                </c:pt>
                <c:pt idx="24">
                  <c:v>Q1 2025</c:v>
                </c:pt>
                <c:pt idx="28">
                  <c:v>Q1 2026</c:v>
                </c:pt>
              </c:strCache>
            </c:strRef>
          </c:cat>
          <c:val>
            <c:numRef>
              <c:f>'Base Case (55%)'!$S$26:$AV$26</c:f>
              <c:numCache>
                <c:formatCode>0.0</c:formatCode>
                <c:ptCount val="30"/>
                <c:pt idx="0">
                  <c:v>128.43899999999999</c:v>
                </c:pt>
                <c:pt idx="1">
                  <c:v>134.20099999999999</c:v>
                </c:pt>
                <c:pt idx="2">
                  <c:v>139.50200000000001</c:v>
                </c:pt>
                <c:pt idx="3">
                  <c:v>145.26100000000008</c:v>
                </c:pt>
                <c:pt idx="4">
                  <c:v>137.30000000000001</c:v>
                </c:pt>
                <c:pt idx="5">
                  <c:v>105.1</c:v>
                </c:pt>
                <c:pt idx="6">
                  <c:v>151.1</c:v>
                </c:pt>
                <c:pt idx="7">
                  <c:v>166.91200000000003</c:v>
                </c:pt>
                <c:pt idx="8">
                  <c:v>169.2</c:v>
                </c:pt>
                <c:pt idx="9">
                  <c:v>184.3</c:v>
                </c:pt>
                <c:pt idx="10">
                  <c:v>190.1</c:v>
                </c:pt>
                <c:pt idx="11">
                  <c:v>203.99</c:v>
                </c:pt>
                <c:pt idx="12">
                  <c:v>203.9</c:v>
                </c:pt>
                <c:pt idx="13">
                  <c:v>208.3</c:v>
                </c:pt>
                <c:pt idx="14">
                  <c:v>213.7</c:v>
                </c:pt>
                <c:pt idx="15">
                  <c:v>221.23299999999995</c:v>
                </c:pt>
                <c:pt idx="16">
                  <c:v>241.4</c:v>
                </c:pt>
                <c:pt idx="17">
                  <c:v>261.5</c:v>
                </c:pt>
                <c:pt idx="18">
                  <c:v>270.89999999999998</c:v>
                </c:pt>
                <c:pt idx="19">
                  <c:v>284.72000000000003</c:v>
                </c:pt>
                <c:pt idx="20">
                  <c:v>278.7</c:v>
                </c:pt>
                <c:pt idx="21">
                  <c:v>299.39999999999998</c:v>
                </c:pt>
                <c:pt idx="22">
                  <c:v>301</c:v>
                </c:pt>
                <c:pt idx="23">
                  <c:v>315.5</c:v>
                </c:pt>
                <c:pt idx="24">
                  <c:v>324.14</c:v>
                </c:pt>
                <c:pt idx="25">
                  <c:v>339.45499999999998</c:v>
                </c:pt>
                <c:pt idx="26">
                  <c:v>354.685</c:v>
                </c:pt>
                <c:pt idx="27">
                  <c:v>385.38499999999999</c:v>
                </c:pt>
                <c:pt idx="28">
                  <c:v>374.75799999999998</c:v>
                </c:pt>
                <c:pt idx="29">
                  <c:v>390.04599999999999</c:v>
                </c:pt>
              </c:numCache>
            </c:numRef>
          </c:val>
          <c:smooth val="0"/>
          <c:extLst>
            <c:ext xmlns:c16="http://schemas.microsoft.com/office/drawing/2014/chart" uri="{C3380CC4-5D6E-409C-BE32-E72D297353CC}">
              <c16:uniqueId val="{00000000-6B6D-4618-9F11-6C09556F4461}"/>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6807027584572113"/>
          <c:y val="7.4697249507572963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(PEN) 1-Day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v>Population Histogram</c:v>
          </c:tx>
          <c:spPr>
            <a:ln w="38100" cap="rnd">
              <a:noFill/>
              <a:round/>
            </a:ln>
            <a:effectLst/>
          </c:spPr>
          <c:marker>
            <c:symbol val="none"/>
          </c:marker>
          <c:errBars>
            <c:errDir val="y"/>
            <c:errBarType val="minus"/>
            <c:errValType val="percentage"/>
            <c:noEndCap val="1"/>
            <c:val val="100"/>
            <c:spPr>
              <a:noFill/>
              <a:ln w="165100" cap="flat" cmpd="sng" algn="ctr">
                <a:solidFill>
                  <a:srgbClr val="00B0F0"/>
                </a:solidFill>
                <a:round/>
              </a:ln>
              <a:effectLst/>
            </c:spPr>
          </c:errBars>
          <c:xVal>
            <c:numRef>
              <c:f>'Notes | Analysis'!$R$245:$R$305</c:f>
              <c:numCache>
                <c:formatCode>0.00%</c:formatCode>
                <c:ptCount val="61"/>
                <c:pt idx="0">
                  <c:v>-7.4999999999999997E-2</c:v>
                </c:pt>
                <c:pt idx="1">
                  <c:v>-7.2499999999999995E-2</c:v>
                </c:pt>
                <c:pt idx="2">
                  <c:v>-6.9999999999999993E-2</c:v>
                </c:pt>
                <c:pt idx="3">
                  <c:v>-6.7499999999999991E-2</c:v>
                </c:pt>
                <c:pt idx="4">
                  <c:v>-6.4999999999999988E-2</c:v>
                </c:pt>
                <c:pt idx="5">
                  <c:v>-6.2499999999999986E-2</c:v>
                </c:pt>
                <c:pt idx="6">
                  <c:v>-5.9999999999999984E-2</c:v>
                </c:pt>
                <c:pt idx="7">
                  <c:v>-5.7499999999999982E-2</c:v>
                </c:pt>
                <c:pt idx="8">
                  <c:v>-5.4999999999999979E-2</c:v>
                </c:pt>
                <c:pt idx="9">
                  <c:v>-5.2499999999999977E-2</c:v>
                </c:pt>
                <c:pt idx="10">
                  <c:v>-0.05</c:v>
                </c:pt>
                <c:pt idx="11">
                  <c:v>-4.7499999999999973E-2</c:v>
                </c:pt>
                <c:pt idx="12">
                  <c:v>-4.4999999999999971E-2</c:v>
                </c:pt>
                <c:pt idx="13">
                  <c:v>-4.2499999999999968E-2</c:v>
                </c:pt>
                <c:pt idx="14">
                  <c:v>-3.9999999999999966E-2</c:v>
                </c:pt>
                <c:pt idx="15">
                  <c:v>-3.7499999999999964E-2</c:v>
                </c:pt>
                <c:pt idx="16">
                  <c:v>-3.4999999999999962E-2</c:v>
                </c:pt>
                <c:pt idx="17">
                  <c:v>-3.2499999999999959E-2</c:v>
                </c:pt>
                <c:pt idx="18">
                  <c:v>-2.9999999999999961E-2</c:v>
                </c:pt>
                <c:pt idx="19">
                  <c:v>-2.7499999999999962E-2</c:v>
                </c:pt>
                <c:pt idx="20">
                  <c:v>-2.4999999999999963E-2</c:v>
                </c:pt>
                <c:pt idx="21">
                  <c:v>-2.2499999999999964E-2</c:v>
                </c:pt>
                <c:pt idx="22">
                  <c:v>-1.9999999999999966E-2</c:v>
                </c:pt>
                <c:pt idx="23">
                  <c:v>-1.7499999999999967E-2</c:v>
                </c:pt>
                <c:pt idx="24">
                  <c:v>-1.4999999999999966E-2</c:v>
                </c:pt>
                <c:pt idx="25">
                  <c:v>-1.2499999999999966E-2</c:v>
                </c:pt>
                <c:pt idx="26">
                  <c:v>-9.9999999999999655E-3</c:v>
                </c:pt>
                <c:pt idx="27">
                  <c:v>-7.499999999999965E-3</c:v>
                </c:pt>
                <c:pt idx="28">
                  <c:v>-4.9999999999999645E-3</c:v>
                </c:pt>
                <c:pt idx="29">
                  <c:v>-2.4999999999999645E-3</c:v>
                </c:pt>
                <c:pt idx="30">
                  <c:v>3.5561831257524545E-17</c:v>
                </c:pt>
                <c:pt idx="31">
                  <c:v>2.5000000000000356E-3</c:v>
                </c:pt>
                <c:pt idx="32">
                  <c:v>5.0000000000000357E-3</c:v>
                </c:pt>
                <c:pt idx="33">
                  <c:v>7.5000000000000362E-3</c:v>
                </c:pt>
                <c:pt idx="34">
                  <c:v>1.0000000000000037E-2</c:v>
                </c:pt>
                <c:pt idx="35">
                  <c:v>1.2500000000000037E-2</c:v>
                </c:pt>
                <c:pt idx="36">
                  <c:v>1.5000000000000038E-2</c:v>
                </c:pt>
                <c:pt idx="37">
                  <c:v>1.7500000000000036E-2</c:v>
                </c:pt>
                <c:pt idx="38">
                  <c:v>2.0000000000000035E-2</c:v>
                </c:pt>
                <c:pt idx="39">
                  <c:v>2.2500000000000034E-2</c:v>
                </c:pt>
                <c:pt idx="40">
                  <c:v>2.5000000000000033E-2</c:v>
                </c:pt>
                <c:pt idx="41">
                  <c:v>2.7500000000000031E-2</c:v>
                </c:pt>
                <c:pt idx="42">
                  <c:v>3.000000000000003E-2</c:v>
                </c:pt>
                <c:pt idx="43">
                  <c:v>3.2500000000000029E-2</c:v>
                </c:pt>
                <c:pt idx="44">
                  <c:v>3.5000000000000031E-2</c:v>
                </c:pt>
                <c:pt idx="45">
                  <c:v>3.7500000000000033E-2</c:v>
                </c:pt>
                <c:pt idx="46">
                  <c:v>4.0000000000000036E-2</c:v>
                </c:pt>
                <c:pt idx="47">
                  <c:v>4.2500000000000038E-2</c:v>
                </c:pt>
                <c:pt idx="48">
                  <c:v>4.500000000000004E-2</c:v>
                </c:pt>
                <c:pt idx="49">
                  <c:v>4.7500000000000042E-2</c:v>
                </c:pt>
                <c:pt idx="50">
                  <c:v>5.0000000000000044E-2</c:v>
                </c:pt>
                <c:pt idx="51">
                  <c:v>5.2500000000000047E-2</c:v>
                </c:pt>
                <c:pt idx="52">
                  <c:v>5.5000000000000049E-2</c:v>
                </c:pt>
                <c:pt idx="53">
                  <c:v>5.7500000000000051E-2</c:v>
                </c:pt>
                <c:pt idx="54">
                  <c:v>6.0000000000000053E-2</c:v>
                </c:pt>
                <c:pt idx="55">
                  <c:v>6.2500000000000056E-2</c:v>
                </c:pt>
                <c:pt idx="56">
                  <c:v>6.5000000000000058E-2</c:v>
                </c:pt>
                <c:pt idx="57">
                  <c:v>6.750000000000006E-2</c:v>
                </c:pt>
                <c:pt idx="58">
                  <c:v>7.0000000000000062E-2</c:v>
                </c:pt>
                <c:pt idx="59">
                  <c:v>7.2500000000000064E-2</c:v>
                </c:pt>
                <c:pt idx="60">
                  <c:v>7.5000000000000067E-2</c:v>
                </c:pt>
              </c:numCache>
            </c:numRef>
          </c:xVal>
          <c:yVal>
            <c:numRef>
              <c:f>'Notes | Analysis'!$S$245:$S$305</c:f>
              <c:numCache>
                <c:formatCode>General</c:formatCode>
                <c:ptCount val="61"/>
                <c:pt idx="0">
                  <c:v>1</c:v>
                </c:pt>
                <c:pt idx="1">
                  <c:v>1</c:v>
                </c:pt>
                <c:pt idx="2">
                  <c:v>1</c:v>
                </c:pt>
                <c:pt idx="3">
                  <c:v>0</c:v>
                </c:pt>
                <c:pt idx="4">
                  <c:v>2</c:v>
                </c:pt>
                <c:pt idx="5">
                  <c:v>0</c:v>
                </c:pt>
                <c:pt idx="6">
                  <c:v>2</c:v>
                </c:pt>
                <c:pt idx="7">
                  <c:v>0</c:v>
                </c:pt>
                <c:pt idx="8">
                  <c:v>2</c:v>
                </c:pt>
                <c:pt idx="9">
                  <c:v>7</c:v>
                </c:pt>
                <c:pt idx="10">
                  <c:v>2</c:v>
                </c:pt>
                <c:pt idx="11">
                  <c:v>7</c:v>
                </c:pt>
                <c:pt idx="12">
                  <c:v>5</c:v>
                </c:pt>
                <c:pt idx="13">
                  <c:v>2</c:v>
                </c:pt>
                <c:pt idx="14">
                  <c:v>12</c:v>
                </c:pt>
                <c:pt idx="15">
                  <c:v>8</c:v>
                </c:pt>
                <c:pt idx="16">
                  <c:v>10</c:v>
                </c:pt>
                <c:pt idx="17">
                  <c:v>6</c:v>
                </c:pt>
                <c:pt idx="18">
                  <c:v>11</c:v>
                </c:pt>
                <c:pt idx="19">
                  <c:v>9</c:v>
                </c:pt>
                <c:pt idx="20">
                  <c:v>25</c:v>
                </c:pt>
                <c:pt idx="21">
                  <c:v>32</c:v>
                </c:pt>
                <c:pt idx="22">
                  <c:v>18</c:v>
                </c:pt>
                <c:pt idx="23">
                  <c:v>27</c:v>
                </c:pt>
                <c:pt idx="24">
                  <c:v>24</c:v>
                </c:pt>
                <c:pt idx="25">
                  <c:v>42</c:v>
                </c:pt>
                <c:pt idx="26">
                  <c:v>53</c:v>
                </c:pt>
                <c:pt idx="27">
                  <c:v>48</c:v>
                </c:pt>
                <c:pt idx="28">
                  <c:v>47</c:v>
                </c:pt>
                <c:pt idx="29">
                  <c:v>49</c:v>
                </c:pt>
                <c:pt idx="30">
                  <c:v>51</c:v>
                </c:pt>
                <c:pt idx="31">
                  <c:v>42</c:v>
                </c:pt>
                <c:pt idx="32">
                  <c:v>61</c:v>
                </c:pt>
                <c:pt idx="33">
                  <c:v>43</c:v>
                </c:pt>
                <c:pt idx="34">
                  <c:v>41</c:v>
                </c:pt>
                <c:pt idx="35">
                  <c:v>41</c:v>
                </c:pt>
                <c:pt idx="36">
                  <c:v>38</c:v>
                </c:pt>
                <c:pt idx="37">
                  <c:v>33</c:v>
                </c:pt>
                <c:pt idx="38">
                  <c:v>33</c:v>
                </c:pt>
                <c:pt idx="39">
                  <c:v>28</c:v>
                </c:pt>
                <c:pt idx="40">
                  <c:v>17</c:v>
                </c:pt>
                <c:pt idx="41">
                  <c:v>15</c:v>
                </c:pt>
                <c:pt idx="42">
                  <c:v>17</c:v>
                </c:pt>
                <c:pt idx="43">
                  <c:v>12</c:v>
                </c:pt>
                <c:pt idx="44">
                  <c:v>12</c:v>
                </c:pt>
                <c:pt idx="45">
                  <c:v>11</c:v>
                </c:pt>
                <c:pt idx="46">
                  <c:v>6</c:v>
                </c:pt>
                <c:pt idx="47">
                  <c:v>8</c:v>
                </c:pt>
                <c:pt idx="48">
                  <c:v>4</c:v>
                </c:pt>
                <c:pt idx="49">
                  <c:v>4</c:v>
                </c:pt>
                <c:pt idx="50">
                  <c:v>4</c:v>
                </c:pt>
                <c:pt idx="51">
                  <c:v>4</c:v>
                </c:pt>
                <c:pt idx="52">
                  <c:v>6</c:v>
                </c:pt>
                <c:pt idx="53">
                  <c:v>2</c:v>
                </c:pt>
                <c:pt idx="54">
                  <c:v>1</c:v>
                </c:pt>
                <c:pt idx="55">
                  <c:v>1</c:v>
                </c:pt>
                <c:pt idx="56">
                  <c:v>1</c:v>
                </c:pt>
                <c:pt idx="57">
                  <c:v>2</c:v>
                </c:pt>
                <c:pt idx="58">
                  <c:v>0</c:v>
                </c:pt>
                <c:pt idx="59">
                  <c:v>0</c:v>
                </c:pt>
                <c:pt idx="60">
                  <c:v>1</c:v>
                </c:pt>
              </c:numCache>
            </c:numRef>
          </c:yVal>
          <c:smooth val="1"/>
          <c:extLst>
            <c:ext xmlns:c16="http://schemas.microsoft.com/office/drawing/2014/chart" uri="{C3380CC4-5D6E-409C-BE32-E72D297353CC}">
              <c16:uniqueId val="{00000000-28C7-4862-86E9-AF862A5BA0AD}"/>
            </c:ext>
          </c:extLst>
        </c:ser>
        <c:ser>
          <c:idx val="1"/>
          <c:order val="1"/>
          <c:tx>
            <c:v>Normal Distribution Overlay</c:v>
          </c:tx>
          <c:spPr>
            <a:ln w="19050" cap="rnd">
              <a:solidFill>
                <a:srgbClr val="FFC000"/>
              </a:solidFill>
              <a:round/>
            </a:ln>
            <a:effectLst/>
          </c:spPr>
          <c:marker>
            <c:symbol val="none"/>
          </c:marker>
          <c:xVal>
            <c:numRef>
              <c:f>'Notes | Analysis'!$U$245:$U$307</c:f>
              <c:numCache>
                <c:formatCode>0.00%</c:formatCode>
                <c:ptCount val="63"/>
                <c:pt idx="0">
                  <c:v>-7.7499999999999999E-2</c:v>
                </c:pt>
                <c:pt idx="1">
                  <c:v>-7.4999999999999997E-2</c:v>
                </c:pt>
                <c:pt idx="2">
                  <c:v>-7.2499999999999995E-2</c:v>
                </c:pt>
                <c:pt idx="3">
                  <c:v>-6.9999999999999993E-2</c:v>
                </c:pt>
                <c:pt idx="4">
                  <c:v>-6.7499999999999991E-2</c:v>
                </c:pt>
                <c:pt idx="5">
                  <c:v>-6.4999999999999988E-2</c:v>
                </c:pt>
                <c:pt idx="6">
                  <c:v>-6.2499999999999986E-2</c:v>
                </c:pt>
                <c:pt idx="7">
                  <c:v>-5.9999999999999984E-2</c:v>
                </c:pt>
                <c:pt idx="8">
                  <c:v>-5.7499999999999982E-2</c:v>
                </c:pt>
                <c:pt idx="9">
                  <c:v>-5.4999999999999979E-2</c:v>
                </c:pt>
                <c:pt idx="10">
                  <c:v>-5.2499999999999977E-2</c:v>
                </c:pt>
                <c:pt idx="11">
                  <c:v>-4.9999999999999975E-2</c:v>
                </c:pt>
                <c:pt idx="12">
                  <c:v>-4.7499999999999973E-2</c:v>
                </c:pt>
                <c:pt idx="13">
                  <c:v>-4.4999999999999971E-2</c:v>
                </c:pt>
                <c:pt idx="14">
                  <c:v>-4.2499999999999968E-2</c:v>
                </c:pt>
                <c:pt idx="15">
                  <c:v>-3.9999999999999966E-2</c:v>
                </c:pt>
                <c:pt idx="16">
                  <c:v>-3.7499999999999964E-2</c:v>
                </c:pt>
                <c:pt idx="17">
                  <c:v>-3.4999999999999962E-2</c:v>
                </c:pt>
                <c:pt idx="18">
                  <c:v>-3.2499999999999959E-2</c:v>
                </c:pt>
                <c:pt idx="19">
                  <c:v>-2.9999999999999961E-2</c:v>
                </c:pt>
                <c:pt idx="20">
                  <c:v>-2.7499999999999962E-2</c:v>
                </c:pt>
                <c:pt idx="21">
                  <c:v>-2.4999999999999963E-2</c:v>
                </c:pt>
                <c:pt idx="22">
                  <c:v>-2.2499999999999964E-2</c:v>
                </c:pt>
                <c:pt idx="23">
                  <c:v>-1.9999999999999966E-2</c:v>
                </c:pt>
                <c:pt idx="24">
                  <c:v>-1.7499999999999967E-2</c:v>
                </c:pt>
                <c:pt idx="25">
                  <c:v>-1.4999999999999966E-2</c:v>
                </c:pt>
                <c:pt idx="26">
                  <c:v>-1.2499999999999966E-2</c:v>
                </c:pt>
                <c:pt idx="27">
                  <c:v>-9.9999999999999655E-3</c:v>
                </c:pt>
                <c:pt idx="28">
                  <c:v>-7.499999999999965E-3</c:v>
                </c:pt>
                <c:pt idx="29">
                  <c:v>-4.9999999999999645E-3</c:v>
                </c:pt>
                <c:pt idx="30">
                  <c:v>-2.4999999999999645E-3</c:v>
                </c:pt>
                <c:pt idx="31">
                  <c:v>3.5561831257524545E-17</c:v>
                </c:pt>
                <c:pt idx="32">
                  <c:v>2.5000000000000356E-3</c:v>
                </c:pt>
                <c:pt idx="33">
                  <c:v>5.0000000000000357E-3</c:v>
                </c:pt>
                <c:pt idx="34">
                  <c:v>7.5000000000000362E-3</c:v>
                </c:pt>
                <c:pt idx="35">
                  <c:v>1.0000000000000037E-2</c:v>
                </c:pt>
                <c:pt idx="36">
                  <c:v>1.2500000000000037E-2</c:v>
                </c:pt>
                <c:pt idx="37">
                  <c:v>1.5000000000000038E-2</c:v>
                </c:pt>
                <c:pt idx="38">
                  <c:v>1.7500000000000036E-2</c:v>
                </c:pt>
                <c:pt idx="39">
                  <c:v>2.0000000000000035E-2</c:v>
                </c:pt>
                <c:pt idx="40">
                  <c:v>2.2500000000000034E-2</c:v>
                </c:pt>
                <c:pt idx="41">
                  <c:v>2.5000000000000033E-2</c:v>
                </c:pt>
                <c:pt idx="42">
                  <c:v>2.7500000000000031E-2</c:v>
                </c:pt>
                <c:pt idx="43">
                  <c:v>3.000000000000003E-2</c:v>
                </c:pt>
                <c:pt idx="44">
                  <c:v>3.2500000000000029E-2</c:v>
                </c:pt>
                <c:pt idx="45">
                  <c:v>3.5000000000000031E-2</c:v>
                </c:pt>
                <c:pt idx="46">
                  <c:v>3.7500000000000033E-2</c:v>
                </c:pt>
                <c:pt idx="47">
                  <c:v>4.0000000000000036E-2</c:v>
                </c:pt>
                <c:pt idx="48">
                  <c:v>4.2500000000000038E-2</c:v>
                </c:pt>
                <c:pt idx="49">
                  <c:v>4.500000000000004E-2</c:v>
                </c:pt>
                <c:pt idx="50">
                  <c:v>4.7500000000000042E-2</c:v>
                </c:pt>
                <c:pt idx="51">
                  <c:v>5.0000000000000044E-2</c:v>
                </c:pt>
                <c:pt idx="52">
                  <c:v>5.2500000000000047E-2</c:v>
                </c:pt>
                <c:pt idx="53">
                  <c:v>5.5000000000000049E-2</c:v>
                </c:pt>
                <c:pt idx="54">
                  <c:v>5.7500000000000051E-2</c:v>
                </c:pt>
                <c:pt idx="55">
                  <c:v>6.0000000000000053E-2</c:v>
                </c:pt>
                <c:pt idx="56">
                  <c:v>6.2500000000000056E-2</c:v>
                </c:pt>
                <c:pt idx="57">
                  <c:v>6.5000000000000058E-2</c:v>
                </c:pt>
                <c:pt idx="58">
                  <c:v>6.750000000000006E-2</c:v>
                </c:pt>
                <c:pt idx="59">
                  <c:v>7.0000000000000062E-2</c:v>
                </c:pt>
                <c:pt idx="60">
                  <c:v>7.2500000000000064E-2</c:v>
                </c:pt>
                <c:pt idx="61">
                  <c:v>7.5000000000000067E-2</c:v>
                </c:pt>
                <c:pt idx="62">
                  <c:v>7.7499999999999999E-2</c:v>
                </c:pt>
              </c:numCache>
            </c:numRef>
          </c:xVal>
          <c:yVal>
            <c:numRef>
              <c:f>'Notes | Analysis'!$V$245:$V$307</c:f>
              <c:numCache>
                <c:formatCode>General</c:formatCode>
                <c:ptCount val="63"/>
                <c:pt idx="0">
                  <c:v>8.0875363793833838E-2</c:v>
                </c:pt>
                <c:pt idx="1">
                  <c:v>0.11346218484928083</c:v>
                </c:pt>
                <c:pt idx="2">
                  <c:v>0.15742293419420078</c:v>
                </c:pt>
                <c:pt idx="3">
                  <c:v>0.21600650471537836</c:v>
                </c:pt>
                <c:pt idx="4">
                  <c:v>0.29312146452222615</c:v>
                </c:pt>
                <c:pt idx="5">
                  <c:v>0.39337828267135982</c:v>
                </c:pt>
                <c:pt idx="6">
                  <c:v>0.52210169608081136</c:v>
                </c:pt>
                <c:pt idx="7">
                  <c:v>0.68530167586273394</c:v>
                </c:pt>
                <c:pt idx="8">
                  <c:v>0.88959114130475181</c:v>
                </c:pt>
                <c:pt idx="9">
                  <c:v>1.1420393572126875</c:v>
                </c:pt>
                <c:pt idx="10">
                  <c:v>1.4499521095634629</c:v>
                </c:pt>
                <c:pt idx="11">
                  <c:v>1.8205734761691441</c:v>
                </c:pt>
                <c:pt idx="12">
                  <c:v>2.2607093479386338</c:v>
                </c:pt>
                <c:pt idx="13">
                  <c:v>2.7762796822559572</c:v>
                </c:pt>
                <c:pt idx="14">
                  <c:v>3.3718144327480482</c:v>
                </c:pt>
                <c:pt idx="15">
                  <c:v>4.0499166160503819</c:v>
                </c:pt>
                <c:pt idx="16">
                  <c:v>4.8107242477304064</c:v>
                </c:pt>
                <c:pt idx="17">
                  <c:v>5.6514099466034819</c:v>
                </c:pt>
                <c:pt idx="18">
                  <c:v>6.5657618383029748</c:v>
                </c:pt>
                <c:pt idx="19">
                  <c:v>7.5438910035155198</c:v>
                </c:pt>
                <c:pt idx="20">
                  <c:v>8.5721083205778896</c:v>
                </c:pt>
                <c:pt idx="21">
                  <c:v>9.6330066812697073</c:v>
                </c:pt>
                <c:pt idx="22">
                  <c:v>10.705773195297178</c:v>
                </c:pt>
                <c:pt idx="23">
                  <c:v>11.766740650092308</c:v>
                </c:pt>
                <c:pt idx="24">
                  <c:v>12.790169204825574</c:v>
                </c:pt>
                <c:pt idx="25">
                  <c:v>13.749229599812042</c:v>
                </c:pt>
                <c:pt idx="26">
                  <c:v>14.617139933671012</c:v>
                </c:pt>
                <c:pt idx="27">
                  <c:v>15.36839133299037</c:v>
                </c:pt>
                <c:pt idx="28">
                  <c:v>15.9799855593025</c:v>
                </c:pt>
                <c:pt idx="29">
                  <c:v>16.432601375481386</c:v>
                </c:pt>
                <c:pt idx="30">
                  <c:v>16.71160737402424</c:v>
                </c:pt>
                <c:pt idx="31">
                  <c:v>16.807847267421494</c:v>
                </c:pt>
                <c:pt idx="32">
                  <c:v>16.718138858766213</c:v>
                </c:pt>
                <c:pt idx="33">
                  <c:v>16.445448764339275</c:v>
                </c:pt>
                <c:pt idx="34">
                  <c:v>15.998729506696403</c:v>
                </c:pt>
                <c:pt idx="35">
                  <c:v>15.392431456412524</c:v>
                </c:pt>
                <c:pt idx="36">
                  <c:v>14.645726735894916</c:v>
                </c:pt>
                <c:pt idx="37">
                  <c:v>13.781503218643312</c:v>
                </c:pt>
                <c:pt idx="38">
                  <c:v>12.825202199960415</c:v>
                </c:pt>
                <c:pt idx="39">
                  <c:v>11.803581869865706</c:v>
                </c:pt>
                <c:pt idx="40">
                  <c:v>10.743489859883031</c:v>
                </c:pt>
                <c:pt idx="41">
                  <c:v>9.6707221489891122</c:v>
                </c:pt>
                <c:pt idx="42">
                  <c:v>8.6090335227724477</c:v>
                </c:pt>
                <c:pt idx="43">
                  <c:v>7.5793481770888791</c:v>
                </c:pt>
                <c:pt idx="44">
                  <c:v>6.5991998820294304</c:v>
                </c:pt>
                <c:pt idx="45">
                  <c:v>5.6824114073584839</c:v>
                </c:pt>
                <c:pt idx="46">
                  <c:v>4.8390045446956282</c:v>
                </c:pt>
                <c:pt idx="47">
                  <c:v>4.0753165884628944</c:v>
                </c:pt>
                <c:pt idx="48">
                  <c:v>3.3942876220841054</c:v>
                </c:pt>
                <c:pt idx="49">
                  <c:v>2.795875924202587</c:v>
                </c:pt>
                <c:pt idx="50">
                  <c:v>2.2775562619227712</c:v>
                </c:pt>
                <c:pt idx="51">
                  <c:v>1.8348573233217513</c:v>
                </c:pt>
                <c:pt idx="52">
                  <c:v>1.461899275776497</c:v>
                </c:pt>
                <c:pt idx="53">
                  <c:v>1.151899442594212</c:v>
                </c:pt>
                <c:pt idx="54">
                  <c:v>0.89762233658414703</c:v>
                </c:pt>
                <c:pt idx="55">
                  <c:v>0.69175881163222153</c:v>
                </c:pt>
                <c:pt idx="56">
                  <c:v>0.52722708685524844</c:v>
                </c:pt>
                <c:pt idx="57">
                  <c:v>0.3973952711977069</c:v>
                </c:pt>
                <c:pt idx="58">
                  <c:v>0.29623041101738201</c:v>
                </c:pt>
                <c:pt idx="59">
                  <c:v>0.21838286194328474</c:v>
                </c:pt>
                <c:pt idx="60">
                  <c:v>0.15921699796674926</c:v>
                </c:pt>
                <c:pt idx="61">
                  <c:v>0.1148001022061427</c:v>
                </c:pt>
                <c:pt idx="62">
                  <c:v>8.1861007272505629E-2</c:v>
                </c:pt>
              </c:numCache>
            </c:numRef>
          </c:yVal>
          <c:smooth val="1"/>
          <c:extLst>
            <c:ext xmlns:c16="http://schemas.microsoft.com/office/drawing/2014/chart" uri="{C3380CC4-5D6E-409C-BE32-E72D297353CC}">
              <c16:uniqueId val="{00000001-28C7-4862-86E9-AF862A5BA0AD}"/>
            </c:ext>
          </c:extLst>
        </c:ser>
        <c:ser>
          <c:idx val="2"/>
          <c:order val="2"/>
          <c:tx>
            <c:strRef>
              <c:f>'Notes | Analysis'!$X$245</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3073368695663162E-2"/>
                  <c:y val="-2.7103188664998154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7926326628355251E-2"/>
                      <c:h val="7.7448362996124329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Analysis'!$Y$245:$Y$246</c:f>
              <c:numCache>
                <c:formatCode>0.00%</c:formatCode>
                <c:ptCount val="2"/>
                <c:pt idx="0">
                  <c:v>4.4028438679999708E-5</c:v>
                </c:pt>
                <c:pt idx="1">
                  <c:v>4.4028438679999708E-5</c:v>
                </c:pt>
              </c:numCache>
            </c:numRef>
          </c:xVal>
          <c:yVal>
            <c:numRef>
              <c:f>'Notes | Analysis'!$Z$245:$Z$246</c:f>
              <c:numCache>
                <c:formatCode>General</c:formatCode>
                <c:ptCount val="2"/>
                <c:pt idx="0">
                  <c:v>0</c:v>
                </c:pt>
                <c:pt idx="1">
                  <c:v>17</c:v>
                </c:pt>
              </c:numCache>
            </c:numRef>
          </c:yVal>
          <c:smooth val="1"/>
          <c:extLst>
            <c:ext xmlns:c16="http://schemas.microsoft.com/office/drawing/2014/chart" uri="{C3380CC4-5D6E-409C-BE32-E72D297353CC}">
              <c16:uniqueId val="{00000004-28C7-4862-86E9-AF862A5BA0AD}"/>
            </c:ext>
          </c:extLst>
        </c:ser>
        <c:ser>
          <c:idx val="3"/>
          <c:order val="3"/>
          <c:tx>
            <c:strRef>
              <c:f>'Notes | Analysis'!$X$247</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Analysis'!$Y$247:$Y$248</c:f>
              <c:numCache>
                <c:formatCode>0.00%</c:formatCode>
                <c:ptCount val="2"/>
                <c:pt idx="0">
                  <c:v>-7.1162281511839759E-2</c:v>
                </c:pt>
                <c:pt idx="1">
                  <c:v>-7.1162281511839759E-2</c:v>
                </c:pt>
              </c:numCache>
            </c:numRef>
          </c:xVal>
          <c:yVal>
            <c:numRef>
              <c:f>'Notes | Analysis'!$Z$247:$Z$248</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Analysis'!$X$249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5861686296E-2"/>
                  <c:y val="-6.877531293888902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Analysis'!$Y$249:$Y$250</c:f>
              <c:numCache>
                <c:formatCode>0.00%</c:formatCode>
                <c:ptCount val="2"/>
                <c:pt idx="0">
                  <c:v>-4.7426844861666505E-2</c:v>
                </c:pt>
                <c:pt idx="1">
                  <c:v>-4.7426844861666505E-2</c:v>
                </c:pt>
              </c:numCache>
            </c:numRef>
          </c:xVal>
          <c:yVal>
            <c:numRef>
              <c:f>'Notes | Analysis'!$Z$249:$Z$250</c:f>
              <c:numCache>
                <c:formatCode>General</c:formatCode>
                <c:ptCount val="2"/>
                <c:pt idx="0">
                  <c:v>0</c:v>
                </c:pt>
                <c:pt idx="1">
                  <c:v>3</c:v>
                </c:pt>
              </c:numCache>
            </c:numRef>
          </c:yVal>
          <c:smooth val="1"/>
          <c:extLst>
            <c:ext xmlns:c16="http://schemas.microsoft.com/office/drawing/2014/chart" uri="{C3380CC4-5D6E-409C-BE32-E72D297353CC}">
              <c16:uniqueId val="{0000000A-28C7-4862-86E9-AF862A5BA0AD}"/>
            </c:ext>
          </c:extLst>
        </c:ser>
        <c:ser>
          <c:idx val="5"/>
          <c:order val="5"/>
          <c:tx>
            <c:strRef>
              <c:f>'Notes | Analysis'!$X$251</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58889884046E-2"/>
                  <c:y val="-4.005543568403144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Analysis'!$Y$251:$Y$252</c:f>
              <c:numCache>
                <c:formatCode>0.00%</c:formatCode>
                <c:ptCount val="2"/>
                <c:pt idx="0">
                  <c:v>-2.3691408211493251E-2</c:v>
                </c:pt>
                <c:pt idx="1">
                  <c:v>-2.3691408211493251E-2</c:v>
                </c:pt>
              </c:numCache>
            </c:numRef>
          </c:xVal>
          <c:yVal>
            <c:numRef>
              <c:f>'Notes | Analysis'!$Z$251:$Z$252</c:f>
              <c:numCache>
                <c:formatCode>General</c:formatCode>
                <c:ptCount val="2"/>
                <c:pt idx="0">
                  <c:v>0</c:v>
                </c:pt>
                <c:pt idx="1">
                  <c:v>10</c:v>
                </c:pt>
              </c:numCache>
            </c:numRef>
          </c:yVal>
          <c:smooth val="1"/>
          <c:extLst>
            <c:ext xmlns:c16="http://schemas.microsoft.com/office/drawing/2014/chart" uri="{C3380CC4-5D6E-409C-BE32-E72D297353CC}">
              <c16:uniqueId val="{0000000D-28C7-4862-86E9-AF862A5BA0AD}"/>
            </c:ext>
          </c:extLst>
        </c:ser>
        <c:ser>
          <c:idx val="6"/>
          <c:order val="6"/>
          <c:tx>
            <c:strRef>
              <c:f>'Notes | Analysis'!$X$253</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2582794495E-2"/>
                  <c:y val="-4.005543568403144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Analysis'!$Y$253:$Y$254</c:f>
              <c:numCache>
                <c:formatCode>0.00%</c:formatCode>
                <c:ptCount val="2"/>
                <c:pt idx="0">
                  <c:v>2.3779465088853251E-2</c:v>
                </c:pt>
                <c:pt idx="1">
                  <c:v>2.3779465088853251E-2</c:v>
                </c:pt>
              </c:numCache>
            </c:numRef>
          </c:xVal>
          <c:yVal>
            <c:numRef>
              <c:f>'Notes | Analysis'!$Z$253:$Z$254</c:f>
              <c:numCache>
                <c:formatCode>General</c:formatCode>
                <c:ptCount val="2"/>
                <c:pt idx="0">
                  <c:v>0</c:v>
                </c:pt>
                <c:pt idx="1">
                  <c:v>10</c:v>
                </c:pt>
              </c:numCache>
            </c:numRef>
          </c:yVal>
          <c:smooth val="1"/>
          <c:extLst>
            <c:ext xmlns:c16="http://schemas.microsoft.com/office/drawing/2014/chart" uri="{C3380CC4-5D6E-409C-BE32-E72D297353CC}">
              <c16:uniqueId val="{0000000F-28C7-4862-86E9-AF862A5BA0AD}"/>
            </c:ext>
          </c:extLst>
        </c:ser>
        <c:ser>
          <c:idx val="7"/>
          <c:order val="7"/>
          <c:tx>
            <c:strRef>
              <c:f>'Notes | Analysis'!$X$255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7194905201E-2"/>
                  <c:y val="-6.892243642428706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Analysis'!$Y$255:$Y$256</c:f>
              <c:numCache>
                <c:formatCode>0.00%</c:formatCode>
                <c:ptCount val="2"/>
                <c:pt idx="0">
                  <c:v>4.7514901739026498E-2</c:v>
                </c:pt>
                <c:pt idx="1">
                  <c:v>4.7514901739026498E-2</c:v>
                </c:pt>
              </c:numCache>
            </c:numRef>
          </c:xVal>
          <c:yVal>
            <c:numRef>
              <c:f>'Notes | Analysis'!$Z$255:$Z$256</c:f>
              <c:numCache>
                <c:formatCode>General</c:formatCode>
                <c:ptCount val="2"/>
                <c:pt idx="0">
                  <c:v>0</c:v>
                </c:pt>
                <c:pt idx="1">
                  <c:v>3</c:v>
                </c:pt>
              </c:numCache>
            </c:numRef>
          </c:yVal>
          <c:smooth val="1"/>
          <c:extLst>
            <c:ext xmlns:c16="http://schemas.microsoft.com/office/drawing/2014/chart" uri="{C3380CC4-5D6E-409C-BE32-E72D297353CC}">
              <c16:uniqueId val="{00000012-28C7-4862-86E9-AF862A5BA0AD}"/>
            </c:ext>
          </c:extLst>
        </c:ser>
        <c:ser>
          <c:idx val="8"/>
          <c:order val="8"/>
          <c:tx>
            <c:strRef>
              <c:f>'Notes | Analysis'!$X$257</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Analysis'!$Y$257:$Y$258</c:f>
              <c:numCache>
                <c:formatCode>0.00%</c:formatCode>
                <c:ptCount val="2"/>
                <c:pt idx="0">
                  <c:v>7.1250338389199752E-2</c:v>
                </c:pt>
                <c:pt idx="1">
                  <c:v>7.1250338389199752E-2</c:v>
                </c:pt>
              </c:numCache>
            </c:numRef>
          </c:xVal>
          <c:yVal>
            <c:numRef>
              <c:f>'Notes | Analysis'!$Z$257:$Z$258</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8.0000000000000016E-2"/>
          <c:min val="-8.0000000000000016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 Revenue</a:t>
            </a:r>
            <a:r>
              <a:rPr lang="en-US" baseline="0"/>
              <a:t> by Segment </a:t>
            </a:r>
            <a:r>
              <a:rPr lang="en-US" sz="1400" b="0" i="0" u="none" strike="noStrike" kern="1200" spc="0" baseline="0">
                <a:solidFill>
                  <a:sysClr val="windowText" lastClr="000000">
                    <a:lumMod val="65000"/>
                    <a:lumOff val="35000"/>
                  </a:sysClr>
                </a:solidFill>
                <a:latin typeface="Calibre"/>
              </a:rPr>
              <a:t>(in $ millions)</a:t>
            </a:r>
            <a:endParaRPr lang="en-US" baseline="0"/>
          </a:p>
        </c:rich>
      </c:tx>
      <c:layout>
        <c:manualLayout>
          <c:xMode val="edge"/>
          <c:yMode val="edge"/>
          <c:x val="0.40659176163429006"/>
          <c:y val="1.9432483574726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99598078635E-2"/>
          <c:y val="0.13536555086102978"/>
          <c:w val="0.91646860416323306"/>
          <c:h val="0.79607848398707781"/>
        </c:manualLayout>
      </c:layout>
      <c:barChart>
        <c:barDir val="col"/>
        <c:grouping val="stacked"/>
        <c:varyColors val="0"/>
        <c:ser>
          <c:idx val="7"/>
          <c:order val="0"/>
          <c:tx>
            <c:v>Embolization &amp; Access</c:v>
          </c:tx>
          <c:spPr>
            <a:solidFill>
              <a:srgbClr val="C00000"/>
            </a:solidFill>
            <a:ln>
              <a:noFill/>
            </a:ln>
            <a:effectLst/>
          </c:spPr>
          <c:invertIfNegative val="0"/>
          <c:cat>
            <c:strRef>
              <c:f>'Base Case (55%)'!$AI$1:$AV$1</c:f>
              <c:strCache>
                <c:ptCount val="13"/>
                <c:pt idx="0">
                  <c:v>Q1 2023</c:v>
                </c:pt>
                <c:pt idx="4">
                  <c:v>Q1 2024</c:v>
                </c:pt>
                <c:pt idx="8">
                  <c:v>Q1 2025</c:v>
                </c:pt>
                <c:pt idx="12">
                  <c:v>Q1 2026</c:v>
                </c:pt>
              </c:strCache>
            </c:strRef>
          </c:cat>
          <c:val>
            <c:numRef>
              <c:f>'Base Case (55%)'!$AI$5:$AV$5</c:f>
              <c:numCache>
                <c:formatCode>General</c:formatCode>
                <c:ptCount val="14"/>
                <c:pt idx="0">
                  <c:v>96</c:v>
                </c:pt>
                <c:pt idx="1">
                  <c:v>99</c:v>
                </c:pt>
                <c:pt idx="2">
                  <c:v>92</c:v>
                </c:pt>
                <c:pt idx="3" formatCode="0">
                  <c:v>94</c:v>
                </c:pt>
                <c:pt idx="4">
                  <c:v>91</c:v>
                </c:pt>
                <c:pt idx="5">
                  <c:v>96</c:v>
                </c:pt>
                <c:pt idx="6" formatCode="0">
                  <c:v>96.89</c:v>
                </c:pt>
                <c:pt idx="7" formatCode="0">
                  <c:v>95.110000000000014</c:v>
                </c:pt>
                <c:pt idx="8" formatCode="0">
                  <c:v>97.596000000000004</c:v>
                </c:pt>
                <c:pt idx="9" formatCode="0">
                  <c:v>109.199</c:v>
                </c:pt>
                <c:pt idx="10" formatCode="0">
                  <c:v>118.3</c:v>
                </c:pt>
                <c:pt idx="11" formatCode="0">
                  <c:v>130.65199999999999</c:v>
                </c:pt>
                <c:pt idx="12" formatCode="0">
                  <c:v>120.84099999999999</c:v>
                </c:pt>
                <c:pt idx="13" formatCode="0">
                  <c:v>131.065</c:v>
                </c:pt>
              </c:numCache>
            </c:numRef>
          </c:val>
          <c:extLst>
            <c:ext xmlns:c16="http://schemas.microsoft.com/office/drawing/2014/chart" uri="{C3380CC4-5D6E-409C-BE32-E72D297353CC}">
              <c16:uniqueId val="{00000000-E19A-4112-A5F2-3515ED9E605A}"/>
            </c:ext>
          </c:extLst>
        </c:ser>
        <c:ser>
          <c:idx val="3"/>
          <c:order val="1"/>
          <c:tx>
            <c:v>Thrombectomy</c:v>
          </c:tx>
          <c:spPr>
            <a:solidFill>
              <a:srgbClr val="DDDDDD"/>
            </a:solidFill>
            <a:ln>
              <a:noFill/>
            </a:ln>
            <a:effectLst/>
          </c:spPr>
          <c:invertIfNegative val="0"/>
          <c:cat>
            <c:strRef>
              <c:f>'Base Case (55%)'!$AI$1:$AV$1</c:f>
              <c:strCache>
                <c:ptCount val="13"/>
                <c:pt idx="0">
                  <c:v>Q1 2023</c:v>
                </c:pt>
                <c:pt idx="4">
                  <c:v>Q1 2024</c:v>
                </c:pt>
                <c:pt idx="8">
                  <c:v>Q1 2025</c:v>
                </c:pt>
                <c:pt idx="12">
                  <c:v>Q1 2026</c:v>
                </c:pt>
              </c:strCache>
            </c:strRef>
          </c:cat>
          <c:val>
            <c:numRef>
              <c:f>'Base Case (55%)'!$AI$4:$AV$4</c:f>
              <c:numCache>
                <c:formatCode>General</c:formatCode>
                <c:ptCount val="14"/>
                <c:pt idx="0">
                  <c:v>145</c:v>
                </c:pt>
                <c:pt idx="1">
                  <c:v>162</c:v>
                </c:pt>
                <c:pt idx="2">
                  <c:v>179</c:v>
                </c:pt>
                <c:pt idx="3" formatCode="0">
                  <c:v>191</c:v>
                </c:pt>
                <c:pt idx="4">
                  <c:v>188</c:v>
                </c:pt>
                <c:pt idx="5">
                  <c:v>203</c:v>
                </c:pt>
                <c:pt idx="6">
                  <c:v>204</c:v>
                </c:pt>
                <c:pt idx="7" formatCode="0">
                  <c:v>220</c:v>
                </c:pt>
                <c:pt idx="8" formatCode="0">
                  <c:v>226.54400000000001</c:v>
                </c:pt>
                <c:pt idx="9" formatCode="0">
                  <c:v>230.256</c:v>
                </c:pt>
                <c:pt idx="10" formatCode="0">
                  <c:v>236.4</c:v>
                </c:pt>
                <c:pt idx="11" formatCode="0">
                  <c:v>254.71799999999996</c:v>
                </c:pt>
                <c:pt idx="12" formatCode="0">
                  <c:v>253.917</c:v>
                </c:pt>
                <c:pt idx="13" formatCode="0">
                  <c:v>258.98099999999999</c:v>
                </c:pt>
              </c:numCache>
            </c:numRef>
          </c:val>
          <c:extLst>
            <c:ext xmlns:c16="http://schemas.microsoft.com/office/drawing/2014/chart" uri="{C3380CC4-5D6E-409C-BE32-E72D297353CC}">
              <c16:uniqueId val="{00000001-E19A-4112-A5F2-3515ED9E605A}"/>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26880858279863518"/>
          <c:y val="4.5464287618827003E-2"/>
          <c:w val="0.57932501282119786"/>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a:t>(PEN) Annualized Ttl Revenues, Net Income, Free Cash Flows (in $ millions)</a:t>
            </a:r>
          </a:p>
        </c:rich>
      </c:tx>
      <c:layout>
        <c:manualLayout>
          <c:xMode val="edge"/>
          <c:yMode val="edge"/>
          <c:x val="0.25889661013955506"/>
          <c:y val="1.2571425743211306E-2"/>
        </c:manualLayout>
      </c:layout>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endParaRPr lang="en-US"/>
        </a:p>
      </c:txPr>
    </c:title>
    <c:autoTitleDeleted val="0"/>
    <c:plotArea>
      <c:layout>
        <c:manualLayout>
          <c:layoutTarget val="inner"/>
          <c:xMode val="edge"/>
          <c:yMode val="edge"/>
          <c:x val="7.6306808237559073E-2"/>
          <c:y val="0.12846390844991393"/>
          <c:w val="0.90291776053516903"/>
          <c:h val="0.77844039571775603"/>
        </c:manualLayout>
      </c:layout>
      <c:barChart>
        <c:barDir val="col"/>
        <c:grouping val="clustered"/>
        <c:varyColors val="0"/>
        <c:ser>
          <c:idx val="1"/>
          <c:order val="1"/>
          <c:tx>
            <c:v>Net Income</c:v>
          </c:tx>
          <c:spPr>
            <a:solidFill>
              <a:srgbClr val="00B050"/>
            </a:solidFill>
            <a:ln>
              <a:noFill/>
            </a:ln>
            <a:effectLst/>
          </c:spPr>
          <c:invertIfNegative val="0"/>
          <c:cat>
            <c:numRef>
              <c:f>'Base Case (55%)'!$BG$3:$BP$3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'Base Case (55%)'!$BG$39:$BQ$39</c:f>
              <c:numCache>
                <c:formatCode>0.0</c:formatCode>
                <c:ptCount val="11"/>
                <c:pt idx="0">
                  <c:v>1.02</c:v>
                </c:pt>
                <c:pt idx="1">
                  <c:v>15.300000000000002</c:v>
                </c:pt>
                <c:pt idx="2">
                  <c:v>4.5999999999999996</c:v>
                </c:pt>
                <c:pt idx="3">
                  <c:v>6.52</c:v>
                </c:pt>
                <c:pt idx="4">
                  <c:v>48.455999999999975</c:v>
                </c:pt>
                <c:pt idx="5">
                  <c:v>-15.601999999999894</c:v>
                </c:pt>
                <c:pt idx="6">
                  <c:v>5.2839999999999652</c:v>
                </c:pt>
                <c:pt idx="7">
                  <c:v>-2.0019999999998928</c:v>
                </c:pt>
                <c:pt idx="8">
                  <c:v>91.01</c:v>
                </c:pt>
                <c:pt idx="9">
                  <c:v>13.989999999999876</c:v>
                </c:pt>
                <c:pt idx="10">
                  <c:v>177.68699999999995</c:v>
                </c:pt>
              </c:numCache>
            </c:numRef>
          </c:val>
          <c:extLst>
            <c:ext xmlns:c16="http://schemas.microsoft.com/office/drawing/2014/chart" uri="{C3380CC4-5D6E-409C-BE32-E72D297353CC}">
              <c16:uniqueId val="{00000000-FE58-46A9-84BD-4C4D41AFF300}"/>
            </c:ext>
          </c:extLst>
        </c:ser>
        <c:ser>
          <c:idx val="2"/>
          <c:order val="2"/>
          <c:tx>
            <c:v>FCF</c:v>
          </c:tx>
          <c:spPr>
            <a:solidFill>
              <a:srgbClr val="FFC000"/>
            </a:solidFill>
            <a:ln w="12700">
              <a:solidFill>
                <a:srgbClr val="FFC000"/>
              </a:solidFill>
            </a:ln>
            <a:effectLst/>
          </c:spPr>
          <c:invertIfNegative val="0"/>
          <c:cat>
            <c:numRef>
              <c:f>'Base Case (55%)'!$BG$3:$BP$3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'Base Case (55%)'!$BG$87:$BQ$87</c:f>
              <c:numCache>
                <c:formatCode>0.0</c:formatCode>
                <c:ptCount val="11"/>
                <c:pt idx="0">
                  <c:v>-26.1</c:v>
                </c:pt>
                <c:pt idx="1">
                  <c:v>-26.599999999999998</c:v>
                </c:pt>
                <c:pt idx="2">
                  <c:v>0.20000000000000107</c:v>
                </c:pt>
                <c:pt idx="3">
                  <c:v>19.100000000000001</c:v>
                </c:pt>
                <c:pt idx="4">
                  <c:v>4.5429999999999993</c:v>
                </c:pt>
                <c:pt idx="5">
                  <c:v>-57.997999999999998</c:v>
                </c:pt>
                <c:pt idx="6">
                  <c:v>-11.677999999999999</c:v>
                </c:pt>
                <c:pt idx="7">
                  <c:v>-74.959000000000003</c:v>
                </c:pt>
                <c:pt idx="8">
                  <c:v>81.12</c:v>
                </c:pt>
                <c:pt idx="9">
                  <c:v>147.29900000000001</c:v>
                </c:pt>
                <c:pt idx="10">
                  <c:v>174.93400000000003</c:v>
                </c:pt>
              </c:numCache>
            </c:numRef>
          </c:val>
          <c:extLst>
            <c:ext xmlns:c16="http://schemas.microsoft.com/office/drawing/2014/chart" uri="{C3380CC4-5D6E-409C-BE32-E72D297353CC}">
              <c16:uniqueId val="{00000001-FE58-46A9-84BD-4C4D41AFF300}"/>
            </c:ext>
          </c:extLst>
        </c:ser>
        <c:dLbls>
          <c:showLegendKey val="0"/>
          <c:showVal val="0"/>
          <c:showCatName val="0"/>
          <c:showSerName val="0"/>
          <c:showPercent val="0"/>
          <c:showBubbleSize val="0"/>
        </c:dLbls>
        <c:gapWidth val="57"/>
        <c:overlap val="-1"/>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numRef>
              <c:f>'Base Case (55%)'!$BG$3:$BQ$3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'Base Case (55%)'!$BG$26:$BQ$26</c:f>
              <c:numCache>
                <c:formatCode>0.0</c:formatCode>
                <c:ptCount val="11"/>
                <c:pt idx="0">
                  <c:v>186.1</c:v>
                </c:pt>
                <c:pt idx="1">
                  <c:v>263.29999999999995</c:v>
                </c:pt>
                <c:pt idx="2">
                  <c:v>333.8</c:v>
                </c:pt>
                <c:pt idx="3">
                  <c:v>444.90000000000003</c:v>
                </c:pt>
                <c:pt idx="4">
                  <c:v>547.40300000000002</c:v>
                </c:pt>
                <c:pt idx="5">
                  <c:v>560.41200000000003</c:v>
                </c:pt>
                <c:pt idx="6">
                  <c:v>747.59</c:v>
                </c:pt>
                <c:pt idx="7">
                  <c:v>847.13300000000004</c:v>
                </c:pt>
                <c:pt idx="8">
                  <c:v>1058.52</c:v>
                </c:pt>
                <c:pt idx="9">
                  <c:v>1194.5999999999999</c:v>
                </c:pt>
                <c:pt idx="10">
                  <c:v>1403.665</c:v>
                </c:pt>
              </c:numCache>
            </c:numRef>
          </c:val>
          <c:smooth val="0"/>
          <c:extLst>
            <c:ext xmlns:c16="http://schemas.microsoft.com/office/drawing/2014/chart" uri="{C3380CC4-5D6E-409C-BE32-E72D297353CC}">
              <c16:uniqueId val="{00000002-FE58-46A9-84BD-4C4D41AFF300}"/>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majorUnit val="250"/>
      </c:valAx>
      <c:spPr>
        <a:noFill/>
        <a:ln>
          <a:noFill/>
        </a:ln>
        <a:effectLst/>
      </c:spPr>
    </c:plotArea>
    <c:legend>
      <c:legendPos val="t"/>
      <c:layout>
        <c:manualLayout>
          <c:xMode val="edge"/>
          <c:yMode val="edge"/>
          <c:x val="0.26066790640583887"/>
          <c:y val="7.2417186557813304E-2"/>
          <c:w val="0.53831279215259631"/>
          <c:h val="3.4184204239573995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image" Target="../media/image17.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16.png"/><Relationship Id="rId2" Type="http://schemas.openxmlformats.org/officeDocument/2006/relationships/chart" Target="../charts/chart1.xml"/><Relationship Id="rId16" Type="http://schemas.openxmlformats.org/officeDocument/2006/relationships/image" Target="../media/image15.png"/><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chart" Target="../charts/chart2.xml"/><Relationship Id="rId5" Type="http://schemas.openxmlformats.org/officeDocument/2006/relationships/image" Target="../media/image7.png"/><Relationship Id="rId15" Type="http://schemas.openxmlformats.org/officeDocument/2006/relationships/chart" Target="../charts/chart4.xm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2.jpeg"/><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0</xdr:col>
      <xdr:colOff>201638</xdr:colOff>
      <xdr:row>286</xdr:row>
      <xdr:rowOff>100441</xdr:rowOff>
    </xdr:from>
    <xdr:to>
      <xdr:col>17</xdr:col>
      <xdr:colOff>547448</xdr:colOff>
      <xdr:row>286</xdr:row>
      <xdr:rowOff>100442</xdr:rowOff>
    </xdr:to>
    <xdr:cxnSp macro="">
      <xdr:nvCxnSpPr>
        <xdr:cNvPr id="3" name="Straight Connector 2">
          <a:extLst>
            <a:ext uri="{FF2B5EF4-FFF2-40B4-BE49-F238E27FC236}">
              <a16:creationId xmlns:a16="http://schemas.microsoft.com/office/drawing/2014/main" id="{81631A79-5CF3-1633-3F81-E49CC3AFFC38}"/>
            </a:ext>
          </a:extLst>
        </xdr:cNvPr>
        <xdr:cNvCxnSpPr/>
      </xdr:nvCxnSpPr>
      <xdr:spPr>
        <a:xfrm>
          <a:off x="201638" y="48776676"/>
          <a:ext cx="11369255" cy="1"/>
        </a:xfrm>
        <a:prstGeom prst="line">
          <a:avLst/>
        </a:prstGeom>
        <a:ln w="19050">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38196</xdr:colOff>
      <xdr:row>279</xdr:row>
      <xdr:rowOff>94225</xdr:rowOff>
    </xdr:from>
    <xdr:to>
      <xdr:col>17</xdr:col>
      <xdr:colOff>564873</xdr:colOff>
      <xdr:row>279</xdr:row>
      <xdr:rowOff>94226</xdr:rowOff>
    </xdr:to>
    <xdr:cxnSp macro="">
      <xdr:nvCxnSpPr>
        <xdr:cNvPr id="5" name="Straight Connector 4">
          <a:extLst>
            <a:ext uri="{FF2B5EF4-FFF2-40B4-BE49-F238E27FC236}">
              <a16:creationId xmlns:a16="http://schemas.microsoft.com/office/drawing/2014/main" id="{0A588176-D2E4-4E5C-B439-79905F0E541E}"/>
            </a:ext>
          </a:extLst>
        </xdr:cNvPr>
        <xdr:cNvCxnSpPr/>
      </xdr:nvCxnSpPr>
      <xdr:spPr>
        <a:xfrm flipV="1">
          <a:off x="228696" y="46150401"/>
          <a:ext cx="10611971" cy="1"/>
        </a:xfrm>
        <a:prstGeom prst="line">
          <a:avLst/>
        </a:prstGeom>
        <a:ln w="19050">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11205</xdr:colOff>
      <xdr:row>319</xdr:row>
      <xdr:rowOff>22412</xdr:rowOff>
    </xdr:from>
    <xdr:to>
      <xdr:col>6</xdr:col>
      <xdr:colOff>235324</xdr:colOff>
      <xdr:row>334</xdr:row>
      <xdr:rowOff>156882</xdr:rowOff>
    </xdr:to>
    <xdr:pic>
      <xdr:nvPicPr>
        <xdr:cNvPr id="6" name="Picture 5">
          <a:extLst>
            <a:ext uri="{FF2B5EF4-FFF2-40B4-BE49-F238E27FC236}">
              <a16:creationId xmlns:a16="http://schemas.microsoft.com/office/drawing/2014/main" id="{092AD17F-A870-BE87-6817-AAF0A3842090}"/>
            </a:ext>
          </a:extLst>
        </xdr:cNvPr>
        <xdr:cNvPicPr>
          <a:picLocks noChangeAspect="1"/>
        </xdr:cNvPicPr>
      </xdr:nvPicPr>
      <xdr:blipFill>
        <a:blip xmlns:r="http://schemas.openxmlformats.org/officeDocument/2006/relationships" r:embed="rId1"/>
        <a:stretch>
          <a:fillRect/>
        </a:stretch>
      </xdr:blipFill>
      <xdr:spPr>
        <a:xfrm>
          <a:off x="806823" y="53474471"/>
          <a:ext cx="2812677" cy="2655794"/>
        </a:xfrm>
        <a:prstGeom prst="rect">
          <a:avLst/>
        </a:prstGeom>
      </xdr:spPr>
    </xdr:pic>
    <xdr:clientData/>
  </xdr:twoCellAnchor>
  <xdr:twoCellAnchor editAs="oneCell">
    <xdr:from>
      <xdr:col>6</xdr:col>
      <xdr:colOff>11206</xdr:colOff>
      <xdr:row>319</xdr:row>
      <xdr:rowOff>11206</xdr:rowOff>
    </xdr:from>
    <xdr:to>
      <xdr:col>19</xdr:col>
      <xdr:colOff>1275</xdr:colOff>
      <xdr:row>330</xdr:row>
      <xdr:rowOff>1703</xdr:rowOff>
    </xdr:to>
    <xdr:pic>
      <xdr:nvPicPr>
        <xdr:cNvPr id="7" name="Picture 6">
          <a:extLst>
            <a:ext uri="{FF2B5EF4-FFF2-40B4-BE49-F238E27FC236}">
              <a16:creationId xmlns:a16="http://schemas.microsoft.com/office/drawing/2014/main" id="{4A8A99FA-E42B-5304-2EF8-001F32043FD1}"/>
            </a:ext>
          </a:extLst>
        </xdr:cNvPr>
        <xdr:cNvPicPr>
          <a:picLocks noChangeAspect="1"/>
        </xdr:cNvPicPr>
      </xdr:nvPicPr>
      <xdr:blipFill>
        <a:blip xmlns:r="http://schemas.openxmlformats.org/officeDocument/2006/relationships" r:embed="rId2"/>
        <a:stretch>
          <a:fillRect/>
        </a:stretch>
      </xdr:blipFill>
      <xdr:spPr>
        <a:xfrm>
          <a:off x="3891609" y="50738043"/>
          <a:ext cx="8471461" cy="1868946"/>
        </a:xfrm>
        <a:prstGeom prst="rect">
          <a:avLst/>
        </a:prstGeom>
      </xdr:spPr>
    </xdr:pic>
    <xdr:clientData/>
  </xdr:twoCellAnchor>
  <xdr:twoCellAnchor>
    <xdr:from>
      <xdr:col>2</xdr:col>
      <xdr:colOff>257735</xdr:colOff>
      <xdr:row>34</xdr:row>
      <xdr:rowOff>79687</xdr:rowOff>
    </xdr:from>
    <xdr:to>
      <xdr:col>4</xdr:col>
      <xdr:colOff>168088</xdr:colOff>
      <xdr:row>34</xdr:row>
      <xdr:rowOff>90893</xdr:rowOff>
    </xdr:to>
    <xdr:cxnSp macro="">
      <xdr:nvCxnSpPr>
        <xdr:cNvPr id="8" name="Straight Connector 7">
          <a:extLst>
            <a:ext uri="{FF2B5EF4-FFF2-40B4-BE49-F238E27FC236}">
              <a16:creationId xmlns:a16="http://schemas.microsoft.com/office/drawing/2014/main" id="{0F31FC69-D2FD-4B60-9037-27A02A91F286}"/>
            </a:ext>
          </a:extLst>
        </xdr:cNvPr>
        <xdr:cNvCxnSpPr/>
      </xdr:nvCxnSpPr>
      <xdr:spPr>
        <a:xfrm flipV="1">
          <a:off x="1062068" y="5667687"/>
          <a:ext cx="1349687" cy="11206"/>
        </a:xfrm>
        <a:prstGeom prst="line">
          <a:avLst/>
        </a:prstGeom>
        <a:ln w="3175">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6</xdr:col>
      <xdr:colOff>10585</xdr:colOff>
      <xdr:row>2</xdr:row>
      <xdr:rowOff>10583</xdr:rowOff>
    </xdr:from>
    <xdr:to>
      <xdr:col>9</xdr:col>
      <xdr:colOff>1</xdr:colOff>
      <xdr:row>8</xdr:row>
      <xdr:rowOff>0</xdr:rowOff>
    </xdr:to>
    <xdr:pic>
      <xdr:nvPicPr>
        <xdr:cNvPr id="2" name="Picture 1">
          <a:extLst>
            <a:ext uri="{FF2B5EF4-FFF2-40B4-BE49-F238E27FC236}">
              <a16:creationId xmlns:a16="http://schemas.microsoft.com/office/drawing/2014/main" id="{9095EFA9-CDC3-F0C1-EF99-EEDB86D3D65F}"/>
            </a:ext>
          </a:extLst>
        </xdr:cNvPr>
        <xdr:cNvPicPr>
          <a:picLocks noChangeAspect="1"/>
        </xdr:cNvPicPr>
      </xdr:nvPicPr>
      <xdr:blipFill>
        <a:blip xmlns:r="http://schemas.openxmlformats.org/officeDocument/2006/relationships" r:embed="rId3"/>
        <a:stretch>
          <a:fillRect/>
        </a:stretch>
      </xdr:blipFill>
      <xdr:spPr>
        <a:xfrm>
          <a:off x="3640668" y="687916"/>
          <a:ext cx="1830916" cy="1005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48</xdr:col>
      <xdr:colOff>0</xdr:colOff>
      <xdr:row>0</xdr:row>
      <xdr:rowOff>0</xdr:rowOff>
    </xdr:from>
    <xdr:to>
      <xdr:col>48</xdr:col>
      <xdr:colOff>0</xdr:colOff>
      <xdr:row>105</xdr:row>
      <xdr:rowOff>3362</xdr:rowOff>
    </xdr:to>
    <xdr:cxnSp macro="">
      <xdr:nvCxnSpPr>
        <xdr:cNvPr id="2" name="Straight Connector 1">
          <a:extLst>
            <a:ext uri="{FF2B5EF4-FFF2-40B4-BE49-F238E27FC236}">
              <a16:creationId xmlns:a16="http://schemas.microsoft.com/office/drawing/2014/main" id="{578EA0E1-B134-4FB2-B64E-29ED60E313B8}"/>
            </a:ext>
          </a:extLst>
        </xdr:cNvPr>
        <xdr:cNvCxnSpPr/>
      </xdr:nvCxnSpPr>
      <xdr:spPr>
        <a:xfrm>
          <a:off x="31041975" y="0"/>
          <a:ext cx="0" cy="18862862"/>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0</xdr:colOff>
      <xdr:row>0</xdr:row>
      <xdr:rowOff>0</xdr:rowOff>
    </xdr:from>
    <xdr:to>
      <xdr:col>69</xdr:col>
      <xdr:colOff>0</xdr:colOff>
      <xdr:row>99</xdr:row>
      <xdr:rowOff>44823</xdr:rowOff>
    </xdr:to>
    <xdr:cxnSp macro="">
      <xdr:nvCxnSpPr>
        <xdr:cNvPr id="3" name="Straight Connector 2">
          <a:extLst>
            <a:ext uri="{FF2B5EF4-FFF2-40B4-BE49-F238E27FC236}">
              <a16:creationId xmlns:a16="http://schemas.microsoft.com/office/drawing/2014/main" id="{A02E1DEB-2D25-45F2-9F41-451A7DBF004A}"/>
            </a:ext>
          </a:extLst>
        </xdr:cNvPr>
        <xdr:cNvCxnSpPr/>
      </xdr:nvCxnSpPr>
      <xdr:spPr>
        <a:xfrm>
          <a:off x="43291125" y="0"/>
          <a:ext cx="0" cy="17018373"/>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47</xdr:col>
      <xdr:colOff>593913</xdr:colOff>
      <xdr:row>0</xdr:row>
      <xdr:rowOff>0</xdr:rowOff>
    </xdr:from>
    <xdr:to>
      <xdr:col>47</xdr:col>
      <xdr:colOff>593913</xdr:colOff>
      <xdr:row>105</xdr:row>
      <xdr:rowOff>3362</xdr:rowOff>
    </xdr:to>
    <xdr:cxnSp macro="">
      <xdr:nvCxnSpPr>
        <xdr:cNvPr id="2" name="Straight Connector 1">
          <a:extLst>
            <a:ext uri="{FF2B5EF4-FFF2-40B4-BE49-F238E27FC236}">
              <a16:creationId xmlns:a16="http://schemas.microsoft.com/office/drawing/2014/main" id="{F1E44869-52AF-486E-877C-24F7531B27D8}"/>
            </a:ext>
          </a:extLst>
        </xdr:cNvPr>
        <xdr:cNvCxnSpPr/>
      </xdr:nvCxnSpPr>
      <xdr:spPr>
        <a:xfrm>
          <a:off x="31062707" y="0"/>
          <a:ext cx="0" cy="18493068"/>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0</xdr:colOff>
      <xdr:row>0</xdr:row>
      <xdr:rowOff>0</xdr:rowOff>
    </xdr:from>
    <xdr:to>
      <xdr:col>69</xdr:col>
      <xdr:colOff>0</xdr:colOff>
      <xdr:row>99</xdr:row>
      <xdr:rowOff>44823</xdr:rowOff>
    </xdr:to>
    <xdr:cxnSp macro="">
      <xdr:nvCxnSpPr>
        <xdr:cNvPr id="3" name="Straight Connector 2">
          <a:extLst>
            <a:ext uri="{FF2B5EF4-FFF2-40B4-BE49-F238E27FC236}">
              <a16:creationId xmlns:a16="http://schemas.microsoft.com/office/drawing/2014/main" id="{BFD2E6C1-1006-457F-8965-56C00580F485}"/>
            </a:ext>
          </a:extLst>
        </xdr:cNvPr>
        <xdr:cNvCxnSpPr/>
      </xdr:nvCxnSpPr>
      <xdr:spPr>
        <a:xfrm>
          <a:off x="43951071" y="0"/>
          <a:ext cx="0" cy="18727430"/>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70</xdr:col>
      <xdr:colOff>0</xdr:colOff>
      <xdr:row>0</xdr:row>
      <xdr:rowOff>0</xdr:rowOff>
    </xdr:from>
    <xdr:to>
      <xdr:col>70</xdr:col>
      <xdr:colOff>0</xdr:colOff>
      <xdr:row>98</xdr:row>
      <xdr:rowOff>44823</xdr:rowOff>
    </xdr:to>
    <xdr:cxnSp macro="">
      <xdr:nvCxnSpPr>
        <xdr:cNvPr id="3" name="Straight Connector 2">
          <a:extLst>
            <a:ext uri="{FF2B5EF4-FFF2-40B4-BE49-F238E27FC236}">
              <a16:creationId xmlns:a16="http://schemas.microsoft.com/office/drawing/2014/main" id="{DFEC3D87-63CD-46A1-AA7D-5D53D938A2D9}"/>
            </a:ext>
          </a:extLst>
        </xdr:cNvPr>
        <xdr:cNvCxnSpPr/>
      </xdr:nvCxnSpPr>
      <xdr:spPr>
        <a:xfrm>
          <a:off x="43900725" y="0"/>
          <a:ext cx="0" cy="18723348"/>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0</xdr:colOff>
      <xdr:row>0</xdr:row>
      <xdr:rowOff>0</xdr:rowOff>
    </xdr:from>
    <xdr:to>
      <xdr:col>70</xdr:col>
      <xdr:colOff>0</xdr:colOff>
      <xdr:row>98</xdr:row>
      <xdr:rowOff>44823</xdr:rowOff>
    </xdr:to>
    <xdr:cxnSp macro="">
      <xdr:nvCxnSpPr>
        <xdr:cNvPr id="5" name="Straight Connector 4">
          <a:extLst>
            <a:ext uri="{FF2B5EF4-FFF2-40B4-BE49-F238E27FC236}">
              <a16:creationId xmlns:a16="http://schemas.microsoft.com/office/drawing/2014/main" id="{D1520D3C-D0E5-4542-9229-2D7F36B8D80B}"/>
            </a:ext>
          </a:extLst>
        </xdr:cNvPr>
        <xdr:cNvCxnSpPr/>
      </xdr:nvCxnSpPr>
      <xdr:spPr>
        <a:xfrm>
          <a:off x="43900725" y="0"/>
          <a:ext cx="0" cy="18723348"/>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0</xdr:colOff>
      <xdr:row>0</xdr:row>
      <xdr:rowOff>0</xdr:rowOff>
    </xdr:from>
    <xdr:to>
      <xdr:col>70</xdr:col>
      <xdr:colOff>0</xdr:colOff>
      <xdr:row>98</xdr:row>
      <xdr:rowOff>44823</xdr:rowOff>
    </xdr:to>
    <xdr:cxnSp macro="">
      <xdr:nvCxnSpPr>
        <xdr:cNvPr id="7" name="Straight Connector 6">
          <a:extLst>
            <a:ext uri="{FF2B5EF4-FFF2-40B4-BE49-F238E27FC236}">
              <a16:creationId xmlns:a16="http://schemas.microsoft.com/office/drawing/2014/main" id="{D96B4D31-E479-42D0-BD2B-67997D3650C1}"/>
            </a:ext>
          </a:extLst>
        </xdr:cNvPr>
        <xdr:cNvCxnSpPr/>
      </xdr:nvCxnSpPr>
      <xdr:spPr>
        <a:xfrm>
          <a:off x="43900725" y="0"/>
          <a:ext cx="0" cy="18723348"/>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xdr:colOff>
      <xdr:row>0</xdr:row>
      <xdr:rowOff>0</xdr:rowOff>
    </xdr:from>
    <xdr:to>
      <xdr:col>49</xdr:col>
      <xdr:colOff>1</xdr:colOff>
      <xdr:row>105</xdr:row>
      <xdr:rowOff>3362</xdr:rowOff>
    </xdr:to>
    <xdr:cxnSp macro="">
      <xdr:nvCxnSpPr>
        <xdr:cNvPr id="2" name="Straight Connector 1">
          <a:extLst>
            <a:ext uri="{FF2B5EF4-FFF2-40B4-BE49-F238E27FC236}">
              <a16:creationId xmlns:a16="http://schemas.microsoft.com/office/drawing/2014/main" id="{1AF6F3CA-DCCE-4F4E-838C-62E9FD1C4E0A}"/>
            </a:ext>
          </a:extLst>
        </xdr:cNvPr>
        <xdr:cNvCxnSpPr/>
      </xdr:nvCxnSpPr>
      <xdr:spPr>
        <a:xfrm>
          <a:off x="31286825" y="0"/>
          <a:ext cx="0" cy="17652627"/>
        </a:xfrm>
        <a:prstGeom prst="line">
          <a:avLst/>
        </a:prstGeom>
        <a:ln w="9525">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6614</xdr:colOff>
      <xdr:row>37</xdr:row>
      <xdr:rowOff>0</xdr:rowOff>
    </xdr:from>
    <xdr:to>
      <xdr:col>27</xdr:col>
      <xdr:colOff>13607</xdr:colOff>
      <xdr:row>67</xdr:row>
      <xdr:rowOff>0</xdr:rowOff>
    </xdr:to>
    <xdr:pic>
      <xdr:nvPicPr>
        <xdr:cNvPr id="3" name="Picture 2">
          <a:extLst>
            <a:ext uri="{FF2B5EF4-FFF2-40B4-BE49-F238E27FC236}">
              <a16:creationId xmlns:a16="http://schemas.microsoft.com/office/drawing/2014/main" id="{BAC88A5C-F1C7-C9B7-CD05-D7DBD6F7D226}"/>
            </a:ext>
          </a:extLst>
        </xdr:cNvPr>
        <xdr:cNvPicPr>
          <a:picLocks noChangeAspect="1"/>
        </xdr:cNvPicPr>
      </xdr:nvPicPr>
      <xdr:blipFill>
        <a:blip xmlns:r="http://schemas.openxmlformats.org/officeDocument/2006/relationships" r:embed="rId1"/>
        <a:stretch>
          <a:fillRect/>
        </a:stretch>
      </xdr:blipFill>
      <xdr:spPr>
        <a:xfrm>
          <a:off x="208320" y="6633882"/>
          <a:ext cx="6058169" cy="5378824"/>
        </a:xfrm>
        <a:prstGeom prst="rect">
          <a:avLst/>
        </a:prstGeom>
      </xdr:spPr>
    </xdr:pic>
    <xdr:clientData/>
  </xdr:twoCellAnchor>
  <xdr:twoCellAnchor>
    <xdr:from>
      <xdr:col>17</xdr:col>
      <xdr:colOff>2400</xdr:colOff>
      <xdr:row>112</xdr:row>
      <xdr:rowOff>1</xdr:rowOff>
    </xdr:from>
    <xdr:to>
      <xdr:col>34</xdr:col>
      <xdr:colOff>0</xdr:colOff>
      <xdr:row>146</xdr:row>
      <xdr:rowOff>1</xdr:rowOff>
    </xdr:to>
    <xdr:graphicFrame macro="">
      <xdr:nvGraphicFramePr>
        <xdr:cNvPr id="5" name="Chart 4">
          <a:extLst>
            <a:ext uri="{FF2B5EF4-FFF2-40B4-BE49-F238E27FC236}">
              <a16:creationId xmlns:a16="http://schemas.microsoft.com/office/drawing/2014/main" id="{83493DDC-1615-4FAA-99E8-6984261D6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40</xdr:col>
      <xdr:colOff>0</xdr:colOff>
      <xdr:row>38</xdr:row>
      <xdr:rowOff>0</xdr:rowOff>
    </xdr:from>
    <xdr:to>
      <xdr:col>51</xdr:col>
      <xdr:colOff>11206</xdr:colOff>
      <xdr:row>61</xdr:row>
      <xdr:rowOff>1</xdr:rowOff>
    </xdr:to>
    <xdr:pic>
      <xdr:nvPicPr>
        <xdr:cNvPr id="10" name="Picture 9">
          <a:extLst>
            <a:ext uri="{FF2B5EF4-FFF2-40B4-BE49-F238E27FC236}">
              <a16:creationId xmlns:a16="http://schemas.microsoft.com/office/drawing/2014/main" id="{0A10D00D-E246-46F6-AFCE-DCB735FB5505}"/>
            </a:ext>
          </a:extLst>
        </xdr:cNvPr>
        <xdr:cNvPicPr>
          <a:picLocks noChangeAspect="1"/>
        </xdr:cNvPicPr>
      </xdr:nvPicPr>
      <xdr:blipFill>
        <a:blip xmlns:r="http://schemas.openxmlformats.org/officeDocument/2006/relationships" r:embed="rId3"/>
        <a:stretch>
          <a:fillRect/>
        </a:stretch>
      </xdr:blipFill>
      <xdr:spPr>
        <a:xfrm>
          <a:off x="13750636" y="6580909"/>
          <a:ext cx="6678706" cy="3983183"/>
        </a:xfrm>
        <a:prstGeom prst="rect">
          <a:avLst/>
        </a:prstGeom>
      </xdr:spPr>
    </xdr:pic>
    <xdr:clientData/>
  </xdr:twoCellAnchor>
  <xdr:twoCellAnchor editAs="oneCell">
    <xdr:from>
      <xdr:col>40</xdr:col>
      <xdr:colOff>2708</xdr:colOff>
      <xdr:row>227</xdr:row>
      <xdr:rowOff>11206</xdr:rowOff>
    </xdr:from>
    <xdr:to>
      <xdr:col>51</xdr:col>
      <xdr:colOff>15535</xdr:colOff>
      <xdr:row>252</xdr:row>
      <xdr:rowOff>11205</xdr:rowOff>
    </xdr:to>
    <xdr:pic>
      <xdr:nvPicPr>
        <xdr:cNvPr id="13" name="Picture 12">
          <a:extLst>
            <a:ext uri="{FF2B5EF4-FFF2-40B4-BE49-F238E27FC236}">
              <a16:creationId xmlns:a16="http://schemas.microsoft.com/office/drawing/2014/main" id="{989E0571-D290-4640-B5AA-D8C7F5EDA31B}"/>
            </a:ext>
          </a:extLst>
        </xdr:cNvPr>
        <xdr:cNvPicPr>
          <a:picLocks noChangeAspect="1"/>
        </xdr:cNvPicPr>
      </xdr:nvPicPr>
      <xdr:blipFill>
        <a:blip xmlns:r="http://schemas.openxmlformats.org/officeDocument/2006/relationships" r:embed="rId4"/>
        <a:stretch>
          <a:fillRect/>
        </a:stretch>
      </xdr:blipFill>
      <xdr:spPr>
        <a:xfrm>
          <a:off x="13729914" y="26905324"/>
          <a:ext cx="6669121" cy="4482352"/>
        </a:xfrm>
        <a:prstGeom prst="rect">
          <a:avLst/>
        </a:prstGeom>
      </xdr:spPr>
    </xdr:pic>
    <xdr:clientData/>
  </xdr:twoCellAnchor>
  <xdr:twoCellAnchor editAs="oneCell">
    <xdr:from>
      <xdr:col>51</xdr:col>
      <xdr:colOff>0</xdr:colOff>
      <xdr:row>227</xdr:row>
      <xdr:rowOff>2400</xdr:rowOff>
    </xdr:from>
    <xdr:to>
      <xdr:col>62</xdr:col>
      <xdr:colOff>11897</xdr:colOff>
      <xdr:row>252</xdr:row>
      <xdr:rowOff>11204</xdr:rowOff>
    </xdr:to>
    <xdr:pic>
      <xdr:nvPicPr>
        <xdr:cNvPr id="18" name="Picture 17">
          <a:extLst>
            <a:ext uri="{FF2B5EF4-FFF2-40B4-BE49-F238E27FC236}">
              <a16:creationId xmlns:a16="http://schemas.microsoft.com/office/drawing/2014/main" id="{15BF3CB9-B25A-4D99-A182-D1536DFBD903}"/>
            </a:ext>
          </a:extLst>
        </xdr:cNvPr>
        <xdr:cNvPicPr>
          <a:picLocks noChangeAspect="1"/>
        </xdr:cNvPicPr>
      </xdr:nvPicPr>
      <xdr:blipFill>
        <a:blip xmlns:r="http://schemas.openxmlformats.org/officeDocument/2006/relationships" r:embed="rId5"/>
        <a:stretch>
          <a:fillRect/>
        </a:stretch>
      </xdr:blipFill>
      <xdr:spPr>
        <a:xfrm>
          <a:off x="20383500" y="26896518"/>
          <a:ext cx="6668191" cy="4491157"/>
        </a:xfrm>
        <a:prstGeom prst="rect">
          <a:avLst/>
        </a:prstGeom>
      </xdr:spPr>
    </xdr:pic>
    <xdr:clientData/>
  </xdr:twoCellAnchor>
  <xdr:twoCellAnchor editAs="oneCell">
    <xdr:from>
      <xdr:col>40</xdr:col>
      <xdr:colOff>0</xdr:colOff>
      <xdr:row>294</xdr:row>
      <xdr:rowOff>179293</xdr:rowOff>
    </xdr:from>
    <xdr:to>
      <xdr:col>51</xdr:col>
      <xdr:colOff>11206</xdr:colOff>
      <xdr:row>320</xdr:row>
      <xdr:rowOff>6110</xdr:rowOff>
    </xdr:to>
    <xdr:pic>
      <xdr:nvPicPr>
        <xdr:cNvPr id="22" name="Picture 21">
          <a:extLst>
            <a:ext uri="{FF2B5EF4-FFF2-40B4-BE49-F238E27FC236}">
              <a16:creationId xmlns:a16="http://schemas.microsoft.com/office/drawing/2014/main" id="{DE8D4F65-B4E1-4CFC-B99E-9EBB8204E34D}"/>
            </a:ext>
          </a:extLst>
        </xdr:cNvPr>
        <xdr:cNvPicPr>
          <a:picLocks noChangeAspect="1"/>
        </xdr:cNvPicPr>
      </xdr:nvPicPr>
      <xdr:blipFill>
        <a:blip xmlns:r="http://schemas.openxmlformats.org/officeDocument/2006/relationships" r:embed="rId6"/>
        <a:stretch>
          <a:fillRect/>
        </a:stretch>
      </xdr:blipFill>
      <xdr:spPr>
        <a:xfrm>
          <a:off x="13727206" y="38189646"/>
          <a:ext cx="6667500" cy="4482353"/>
        </a:xfrm>
        <a:prstGeom prst="rect">
          <a:avLst/>
        </a:prstGeom>
      </xdr:spPr>
    </xdr:pic>
    <xdr:clientData/>
  </xdr:twoCellAnchor>
  <xdr:twoCellAnchor editAs="oneCell">
    <xdr:from>
      <xdr:col>51</xdr:col>
      <xdr:colOff>0</xdr:colOff>
      <xdr:row>294</xdr:row>
      <xdr:rowOff>179293</xdr:rowOff>
    </xdr:from>
    <xdr:to>
      <xdr:col>62</xdr:col>
      <xdr:colOff>0</xdr:colOff>
      <xdr:row>320</xdr:row>
      <xdr:rowOff>6110</xdr:rowOff>
    </xdr:to>
    <xdr:pic>
      <xdr:nvPicPr>
        <xdr:cNvPr id="26" name="Picture 25">
          <a:extLst>
            <a:ext uri="{FF2B5EF4-FFF2-40B4-BE49-F238E27FC236}">
              <a16:creationId xmlns:a16="http://schemas.microsoft.com/office/drawing/2014/main" id="{CF886081-21FD-B603-D5F4-4DCD69395846}"/>
            </a:ext>
          </a:extLst>
        </xdr:cNvPr>
        <xdr:cNvPicPr>
          <a:picLocks noChangeAspect="1"/>
        </xdr:cNvPicPr>
      </xdr:nvPicPr>
      <xdr:blipFill>
        <a:blip xmlns:r="http://schemas.openxmlformats.org/officeDocument/2006/relationships" r:embed="rId7"/>
        <a:stretch>
          <a:fillRect/>
        </a:stretch>
      </xdr:blipFill>
      <xdr:spPr>
        <a:xfrm>
          <a:off x="20383500" y="38189646"/>
          <a:ext cx="6656294" cy="4482353"/>
        </a:xfrm>
        <a:prstGeom prst="rect">
          <a:avLst/>
        </a:prstGeom>
      </xdr:spPr>
    </xdr:pic>
    <xdr:clientData/>
  </xdr:twoCellAnchor>
  <xdr:twoCellAnchor editAs="oneCell">
    <xdr:from>
      <xdr:col>62</xdr:col>
      <xdr:colOff>1</xdr:colOff>
      <xdr:row>295</xdr:row>
      <xdr:rowOff>0</xdr:rowOff>
    </xdr:from>
    <xdr:to>
      <xdr:col>73</xdr:col>
      <xdr:colOff>11208</xdr:colOff>
      <xdr:row>320</xdr:row>
      <xdr:rowOff>6111</xdr:rowOff>
    </xdr:to>
    <xdr:pic>
      <xdr:nvPicPr>
        <xdr:cNvPr id="27" name="Picture 26">
          <a:extLst>
            <a:ext uri="{FF2B5EF4-FFF2-40B4-BE49-F238E27FC236}">
              <a16:creationId xmlns:a16="http://schemas.microsoft.com/office/drawing/2014/main" id="{63047CDE-BA59-63C5-911B-C18D15A7EFB7}"/>
            </a:ext>
          </a:extLst>
        </xdr:cNvPr>
        <xdr:cNvPicPr>
          <a:picLocks noChangeAspect="1"/>
        </xdr:cNvPicPr>
      </xdr:nvPicPr>
      <xdr:blipFill>
        <a:blip xmlns:r="http://schemas.openxmlformats.org/officeDocument/2006/relationships" r:embed="rId8"/>
        <a:stretch>
          <a:fillRect/>
        </a:stretch>
      </xdr:blipFill>
      <xdr:spPr>
        <a:xfrm>
          <a:off x="27039795" y="38189647"/>
          <a:ext cx="6667501" cy="4482353"/>
        </a:xfrm>
        <a:prstGeom prst="rect">
          <a:avLst/>
        </a:prstGeom>
      </xdr:spPr>
    </xdr:pic>
    <xdr:clientData/>
  </xdr:twoCellAnchor>
  <xdr:twoCellAnchor editAs="oneCell">
    <xdr:from>
      <xdr:col>51</xdr:col>
      <xdr:colOff>24814</xdr:colOff>
      <xdr:row>38</xdr:row>
      <xdr:rowOff>9525</xdr:rowOff>
    </xdr:from>
    <xdr:to>
      <xdr:col>63</xdr:col>
      <xdr:colOff>1</xdr:colOff>
      <xdr:row>61</xdr:row>
      <xdr:rowOff>1680</xdr:rowOff>
    </xdr:to>
    <xdr:pic>
      <xdr:nvPicPr>
        <xdr:cNvPr id="28" name="Picture 27">
          <a:extLst>
            <a:ext uri="{FF2B5EF4-FFF2-40B4-BE49-F238E27FC236}">
              <a16:creationId xmlns:a16="http://schemas.microsoft.com/office/drawing/2014/main" id="{BA459DF1-B19A-EBA0-E9B7-DDB0FA7DE79F}"/>
            </a:ext>
          </a:extLst>
        </xdr:cNvPr>
        <xdr:cNvPicPr>
          <a:picLocks noChangeAspect="1"/>
        </xdr:cNvPicPr>
      </xdr:nvPicPr>
      <xdr:blipFill>
        <a:blip xmlns:r="http://schemas.openxmlformats.org/officeDocument/2006/relationships" r:embed="rId9"/>
        <a:stretch>
          <a:fillRect/>
        </a:stretch>
      </xdr:blipFill>
      <xdr:spPr>
        <a:xfrm>
          <a:off x="20541664" y="6886575"/>
          <a:ext cx="7280862" cy="4152899"/>
        </a:xfrm>
        <a:prstGeom prst="rect">
          <a:avLst/>
        </a:prstGeom>
      </xdr:spPr>
    </xdr:pic>
    <xdr:clientData/>
  </xdr:twoCellAnchor>
  <xdr:twoCellAnchor>
    <xdr:from>
      <xdr:col>58</xdr:col>
      <xdr:colOff>599004</xdr:colOff>
      <xdr:row>58</xdr:row>
      <xdr:rowOff>156883</xdr:rowOff>
    </xdr:from>
    <xdr:to>
      <xdr:col>63</xdr:col>
      <xdr:colOff>284221</xdr:colOff>
      <xdr:row>60</xdr:row>
      <xdr:rowOff>56029</xdr:rowOff>
    </xdr:to>
    <xdr:sp macro="" textlink="">
      <xdr:nvSpPr>
        <xdr:cNvPr id="29" name="TextBox 28">
          <a:extLst>
            <a:ext uri="{FF2B5EF4-FFF2-40B4-BE49-F238E27FC236}">
              <a16:creationId xmlns:a16="http://schemas.microsoft.com/office/drawing/2014/main" id="{C2A6CB03-84CB-0D74-4EDD-A33E91A9242E}"/>
            </a:ext>
          </a:extLst>
        </xdr:cNvPr>
        <xdr:cNvSpPr txBox="1"/>
      </xdr:nvSpPr>
      <xdr:spPr>
        <a:xfrm>
          <a:off x="25260095" y="10201428"/>
          <a:ext cx="2715899" cy="24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i="0">
              <a:solidFill>
                <a:sysClr val="windowText" lastClr="000000"/>
              </a:solidFill>
              <a:effectLst/>
              <a:latin typeface="Calibre"/>
              <a:ea typeface="+mn-ea"/>
              <a:cs typeface="+mn-cs"/>
            </a:rPr>
            <a:t>CAGR of 7.21%</a:t>
          </a:r>
          <a:endParaRPr lang="en-US" sz="1700" b="1">
            <a:solidFill>
              <a:sysClr val="windowText" lastClr="000000"/>
            </a:solidFill>
            <a:latin typeface="Calibre"/>
          </a:endParaRPr>
        </a:p>
      </xdr:txBody>
    </xdr:sp>
    <xdr:clientData/>
  </xdr:twoCellAnchor>
  <xdr:twoCellAnchor editAs="oneCell">
    <xdr:from>
      <xdr:col>64</xdr:col>
      <xdr:colOff>0</xdr:colOff>
      <xdr:row>38</xdr:row>
      <xdr:rowOff>0</xdr:rowOff>
    </xdr:from>
    <xdr:to>
      <xdr:col>64</xdr:col>
      <xdr:colOff>304800</xdr:colOff>
      <xdr:row>39</xdr:row>
      <xdr:rowOff>114298</xdr:rowOff>
    </xdr:to>
    <xdr:sp macro="" textlink="">
      <xdr:nvSpPr>
        <xdr:cNvPr id="4097" name="AutoShape 1" descr="Thrombectomy Devices Market Share, By Application, 2024 (%)">
          <a:extLst>
            <a:ext uri="{FF2B5EF4-FFF2-40B4-BE49-F238E27FC236}">
              <a16:creationId xmlns:a16="http://schemas.microsoft.com/office/drawing/2014/main" id="{3C73D548-CE5E-CB04-B865-3FCB3DCCFA1B}"/>
            </a:ext>
          </a:extLst>
        </xdr:cNvPr>
        <xdr:cNvSpPr>
          <a:spLocks noChangeAspect="1" noChangeArrowheads="1"/>
        </xdr:cNvSpPr>
      </xdr:nvSpPr>
      <xdr:spPr bwMode="auto">
        <a:xfrm>
          <a:off x="23964900" y="421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57</xdr:col>
      <xdr:colOff>0</xdr:colOff>
      <xdr:row>56</xdr:row>
      <xdr:rowOff>0</xdr:rowOff>
    </xdr:from>
    <xdr:to>
      <xdr:col>66</xdr:col>
      <xdr:colOff>466726</xdr:colOff>
      <xdr:row>71</xdr:row>
      <xdr:rowOff>8518</xdr:rowOff>
    </xdr:to>
    <xdr:sp macro="" textlink="">
      <xdr:nvSpPr>
        <xdr:cNvPr id="4098" name="AutoShape 2" descr="Thrombectomy Devices Market Share, By Application, 2024 (%)">
          <a:extLst>
            <a:ext uri="{FF2B5EF4-FFF2-40B4-BE49-F238E27FC236}">
              <a16:creationId xmlns:a16="http://schemas.microsoft.com/office/drawing/2014/main" id="{DB3F4F52-72F4-B20A-5878-84B6FE120061}"/>
            </a:ext>
          </a:extLst>
        </xdr:cNvPr>
        <xdr:cNvSpPr>
          <a:spLocks noChangeAspect="1" noChangeArrowheads="1"/>
        </xdr:cNvSpPr>
      </xdr:nvSpPr>
      <xdr:spPr bwMode="auto">
        <a:xfrm>
          <a:off x="19697700" y="6943725"/>
          <a:ext cx="5953125" cy="2857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64</xdr:col>
      <xdr:colOff>0</xdr:colOff>
      <xdr:row>38</xdr:row>
      <xdr:rowOff>0</xdr:rowOff>
    </xdr:from>
    <xdr:to>
      <xdr:col>73</xdr:col>
      <xdr:colOff>466726</xdr:colOff>
      <xdr:row>53</xdr:row>
      <xdr:rowOff>4803</xdr:rowOff>
    </xdr:to>
    <xdr:sp macro="" textlink="">
      <xdr:nvSpPr>
        <xdr:cNvPr id="4099" name="AutoShape 3" descr="Thrombectomy Devices Market Share, By Application, 2024 (%)">
          <a:extLst>
            <a:ext uri="{FF2B5EF4-FFF2-40B4-BE49-F238E27FC236}">
              <a16:creationId xmlns:a16="http://schemas.microsoft.com/office/drawing/2014/main" id="{107D04EA-28C8-DFD8-8918-E86CB3AB81B7}"/>
            </a:ext>
          </a:extLst>
        </xdr:cNvPr>
        <xdr:cNvSpPr>
          <a:spLocks noChangeAspect="1" noChangeArrowheads="1"/>
        </xdr:cNvSpPr>
      </xdr:nvSpPr>
      <xdr:spPr bwMode="auto">
        <a:xfrm>
          <a:off x="23964900" y="4210050"/>
          <a:ext cx="5953125" cy="2857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63</xdr:col>
      <xdr:colOff>0</xdr:colOff>
      <xdr:row>38</xdr:row>
      <xdr:rowOff>9525</xdr:rowOff>
    </xdr:from>
    <xdr:to>
      <xdr:col>75</xdr:col>
      <xdr:colOff>0</xdr:colOff>
      <xdr:row>61</xdr:row>
      <xdr:rowOff>3362</xdr:rowOff>
    </xdr:to>
    <xdr:pic>
      <xdr:nvPicPr>
        <xdr:cNvPr id="30" name="Picture 29">
          <a:extLst>
            <a:ext uri="{FF2B5EF4-FFF2-40B4-BE49-F238E27FC236}">
              <a16:creationId xmlns:a16="http://schemas.microsoft.com/office/drawing/2014/main" id="{8A318BE1-36F3-B864-F911-EDF2951C682A}"/>
            </a:ext>
          </a:extLst>
        </xdr:cNvPr>
        <xdr:cNvPicPr>
          <a:picLocks noChangeAspect="1"/>
        </xdr:cNvPicPr>
      </xdr:nvPicPr>
      <xdr:blipFill rotWithShape="1">
        <a:blip xmlns:r="http://schemas.openxmlformats.org/officeDocument/2006/relationships" r:embed="rId10"/>
        <a:srcRect t="759" b="5095"/>
        <a:stretch>
          <a:fillRect/>
        </a:stretch>
      </xdr:blipFill>
      <xdr:spPr>
        <a:xfrm>
          <a:off x="27822525" y="6886575"/>
          <a:ext cx="7315200" cy="4143375"/>
        </a:xfrm>
        <a:prstGeom prst="rect">
          <a:avLst/>
        </a:prstGeom>
      </xdr:spPr>
    </xdr:pic>
    <xdr:clientData/>
  </xdr:twoCellAnchor>
  <xdr:twoCellAnchor>
    <xdr:from>
      <xdr:col>17</xdr:col>
      <xdr:colOff>0</xdr:colOff>
      <xdr:row>190</xdr:row>
      <xdr:rowOff>0</xdr:rowOff>
    </xdr:from>
    <xdr:to>
      <xdr:col>34</xdr:col>
      <xdr:colOff>0</xdr:colOff>
      <xdr:row>222</xdr:row>
      <xdr:rowOff>0</xdr:rowOff>
    </xdr:to>
    <xdr:graphicFrame macro="">
      <xdr:nvGraphicFramePr>
        <xdr:cNvPr id="16" name="Chart 15">
          <a:extLst>
            <a:ext uri="{FF2B5EF4-FFF2-40B4-BE49-F238E27FC236}">
              <a16:creationId xmlns:a16="http://schemas.microsoft.com/office/drawing/2014/main" id="{13F27BEA-7A5E-467F-9A29-0FEF715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40</xdr:col>
      <xdr:colOff>0</xdr:colOff>
      <xdr:row>365</xdr:row>
      <xdr:rowOff>179293</xdr:rowOff>
    </xdr:from>
    <xdr:to>
      <xdr:col>54</xdr:col>
      <xdr:colOff>11206</xdr:colOff>
      <xdr:row>396</xdr:row>
      <xdr:rowOff>4969</xdr:rowOff>
    </xdr:to>
    <xdr:pic>
      <xdr:nvPicPr>
        <xdr:cNvPr id="4" name="Picture 3">
          <a:extLst>
            <a:ext uri="{FF2B5EF4-FFF2-40B4-BE49-F238E27FC236}">
              <a16:creationId xmlns:a16="http://schemas.microsoft.com/office/drawing/2014/main" id="{D3CB6E09-6D0E-40B2-BA57-2180218014F1}"/>
            </a:ext>
          </a:extLst>
        </xdr:cNvPr>
        <xdr:cNvPicPr>
          <a:picLocks noChangeAspect="1"/>
        </xdr:cNvPicPr>
      </xdr:nvPicPr>
      <xdr:blipFill>
        <a:blip xmlns:r="http://schemas.openxmlformats.org/officeDocument/2006/relationships" r:embed="rId12"/>
        <a:stretch>
          <a:fillRect/>
        </a:stretch>
      </xdr:blipFill>
      <xdr:spPr>
        <a:xfrm>
          <a:off x="13727206" y="50740234"/>
          <a:ext cx="8482853" cy="5377681"/>
        </a:xfrm>
        <a:prstGeom prst="rect">
          <a:avLst/>
        </a:prstGeom>
      </xdr:spPr>
    </xdr:pic>
    <xdr:clientData/>
  </xdr:twoCellAnchor>
  <xdr:twoCellAnchor editAs="oneCell">
    <xdr:from>
      <xdr:col>17</xdr:col>
      <xdr:colOff>11206</xdr:colOff>
      <xdr:row>2</xdr:row>
      <xdr:rowOff>11205</xdr:rowOff>
    </xdr:from>
    <xdr:to>
      <xdr:col>28</xdr:col>
      <xdr:colOff>156882</xdr:colOff>
      <xdr:row>30</xdr:row>
      <xdr:rowOff>0</xdr:rowOff>
    </xdr:to>
    <xdr:pic>
      <xdr:nvPicPr>
        <xdr:cNvPr id="2" name="Picture 1">
          <a:extLst>
            <a:ext uri="{FF2B5EF4-FFF2-40B4-BE49-F238E27FC236}">
              <a16:creationId xmlns:a16="http://schemas.microsoft.com/office/drawing/2014/main" id="{16895591-6F8D-4B6A-A094-E5721796225D}"/>
            </a:ext>
          </a:extLst>
        </xdr:cNvPr>
        <xdr:cNvPicPr>
          <a:picLocks noChangeAspect="1"/>
        </xdr:cNvPicPr>
      </xdr:nvPicPr>
      <xdr:blipFill>
        <a:blip xmlns:r="http://schemas.openxmlformats.org/officeDocument/2006/relationships" r:embed="rId13"/>
        <a:stretch>
          <a:fillRect/>
        </a:stretch>
      </xdr:blipFill>
      <xdr:spPr>
        <a:xfrm>
          <a:off x="215313" y="364991"/>
          <a:ext cx="6867605" cy="4941795"/>
        </a:xfrm>
        <a:prstGeom prst="rect">
          <a:avLst/>
        </a:prstGeom>
      </xdr:spPr>
    </xdr:pic>
    <xdr:clientData/>
  </xdr:twoCellAnchor>
  <xdr:twoCellAnchor>
    <xdr:from>
      <xdr:col>17</xdr:col>
      <xdr:colOff>0</xdr:colOff>
      <xdr:row>73</xdr:row>
      <xdr:rowOff>0</xdr:rowOff>
    </xdr:from>
    <xdr:to>
      <xdr:col>32</xdr:col>
      <xdr:colOff>0</xdr:colOff>
      <xdr:row>107</xdr:row>
      <xdr:rowOff>0</xdr:rowOff>
    </xdr:to>
    <xdr:graphicFrame macro="">
      <xdr:nvGraphicFramePr>
        <xdr:cNvPr id="9" name="Chart 8">
          <a:extLst>
            <a:ext uri="{FF2B5EF4-FFF2-40B4-BE49-F238E27FC236}">
              <a16:creationId xmlns:a16="http://schemas.microsoft.com/office/drawing/2014/main" id="{B8D12983-B717-42E4-9222-7DC1F10A2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0</xdr:colOff>
      <xdr:row>151</xdr:row>
      <xdr:rowOff>1679</xdr:rowOff>
    </xdr:from>
    <xdr:to>
      <xdr:col>34</xdr:col>
      <xdr:colOff>0</xdr:colOff>
      <xdr:row>185</xdr:row>
      <xdr:rowOff>0</xdr:rowOff>
    </xdr:to>
    <xdr:graphicFrame macro="">
      <xdr:nvGraphicFramePr>
        <xdr:cNvPr id="12" name="Chart 11">
          <a:extLst>
            <a:ext uri="{FF2B5EF4-FFF2-40B4-BE49-F238E27FC236}">
              <a16:creationId xmlns:a16="http://schemas.microsoft.com/office/drawing/2014/main" id="{936B8BEA-A147-4F82-BEEC-A673CAE34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62</xdr:col>
      <xdr:colOff>0</xdr:colOff>
      <xdr:row>227</xdr:row>
      <xdr:rowOff>13606</xdr:rowOff>
    </xdr:from>
    <xdr:to>
      <xdr:col>73</xdr:col>
      <xdr:colOff>0</xdr:colOff>
      <xdr:row>252</xdr:row>
      <xdr:rowOff>11205</xdr:rowOff>
    </xdr:to>
    <xdr:pic>
      <xdr:nvPicPr>
        <xdr:cNvPr id="14" name="Picture 13">
          <a:extLst>
            <a:ext uri="{FF2B5EF4-FFF2-40B4-BE49-F238E27FC236}">
              <a16:creationId xmlns:a16="http://schemas.microsoft.com/office/drawing/2014/main" id="{F7E032E2-C675-E94C-04AE-BEAA53676BA1}"/>
            </a:ext>
          </a:extLst>
        </xdr:cNvPr>
        <xdr:cNvPicPr>
          <a:picLocks noChangeAspect="1"/>
        </xdr:cNvPicPr>
      </xdr:nvPicPr>
      <xdr:blipFill>
        <a:blip xmlns:r="http://schemas.openxmlformats.org/officeDocument/2006/relationships" r:embed="rId16"/>
        <a:stretch>
          <a:fillRect/>
        </a:stretch>
      </xdr:blipFill>
      <xdr:spPr>
        <a:xfrm>
          <a:off x="27039794" y="26907724"/>
          <a:ext cx="6656294" cy="4479952"/>
        </a:xfrm>
        <a:prstGeom prst="rect">
          <a:avLst/>
        </a:prstGeom>
      </xdr:spPr>
    </xdr:pic>
    <xdr:clientData/>
  </xdr:twoCellAnchor>
  <xdr:twoCellAnchor editAs="oneCell">
    <xdr:from>
      <xdr:col>72</xdr:col>
      <xdr:colOff>608920</xdr:colOff>
      <xdr:row>315</xdr:row>
      <xdr:rowOff>13608</xdr:rowOff>
    </xdr:from>
    <xdr:to>
      <xdr:col>81</xdr:col>
      <xdr:colOff>595313</xdr:colOff>
      <xdr:row>320</xdr:row>
      <xdr:rowOff>6111</xdr:rowOff>
    </xdr:to>
    <xdr:pic>
      <xdr:nvPicPr>
        <xdr:cNvPr id="7" name="Picture 6">
          <a:extLst>
            <a:ext uri="{FF2B5EF4-FFF2-40B4-BE49-F238E27FC236}">
              <a16:creationId xmlns:a16="http://schemas.microsoft.com/office/drawing/2014/main" id="{FD9F4D0C-B081-2838-E4F5-84FF6AB90CD0}"/>
            </a:ext>
          </a:extLst>
        </xdr:cNvPr>
        <xdr:cNvPicPr>
          <a:picLocks noChangeAspect="1"/>
        </xdr:cNvPicPr>
      </xdr:nvPicPr>
      <xdr:blipFill>
        <a:blip xmlns:r="http://schemas.openxmlformats.org/officeDocument/2006/relationships" r:embed="rId17"/>
        <a:stretch>
          <a:fillRect/>
        </a:stretch>
      </xdr:blipFill>
      <xdr:spPr>
        <a:xfrm>
          <a:off x="34398858" y="44400108"/>
          <a:ext cx="5558518" cy="938892"/>
        </a:xfrm>
        <a:prstGeom prst="rect">
          <a:avLst/>
        </a:prstGeom>
      </xdr:spPr>
    </xdr:pic>
    <xdr:clientData/>
  </xdr:twoCellAnchor>
  <xdr:twoCellAnchor editAs="oneCell">
    <xdr:from>
      <xdr:col>27</xdr:col>
      <xdr:colOff>598715</xdr:colOff>
      <xdr:row>2</xdr:row>
      <xdr:rowOff>13607</xdr:rowOff>
    </xdr:from>
    <xdr:to>
      <xdr:col>39</xdr:col>
      <xdr:colOff>0</xdr:colOff>
      <xdr:row>30</xdr:row>
      <xdr:rowOff>0</xdr:rowOff>
    </xdr:to>
    <xdr:pic>
      <xdr:nvPicPr>
        <xdr:cNvPr id="15" name="Picture 14">
          <a:extLst>
            <a:ext uri="{FF2B5EF4-FFF2-40B4-BE49-F238E27FC236}">
              <a16:creationId xmlns:a16="http://schemas.microsoft.com/office/drawing/2014/main" id="{404008C8-E161-1F7F-9769-9F8F1C13B332}"/>
            </a:ext>
          </a:extLst>
        </xdr:cNvPr>
        <xdr:cNvPicPr>
          <a:picLocks noChangeAspect="1"/>
        </xdr:cNvPicPr>
      </xdr:nvPicPr>
      <xdr:blipFill>
        <a:blip xmlns:r="http://schemas.openxmlformats.org/officeDocument/2006/relationships" r:embed="rId18"/>
        <a:stretch>
          <a:fillRect/>
        </a:stretch>
      </xdr:blipFill>
      <xdr:spPr>
        <a:xfrm>
          <a:off x="6912429" y="367393"/>
          <a:ext cx="6749142" cy="49393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11206</xdr:colOff>
      <xdr:row>3</xdr:row>
      <xdr:rowOff>11206</xdr:rowOff>
    </xdr:from>
    <xdr:to>
      <xdr:col>38</xdr:col>
      <xdr:colOff>646</xdr:colOff>
      <xdr:row>24</xdr:row>
      <xdr:rowOff>11206</xdr:rowOff>
    </xdr:to>
    <xdr:pic>
      <xdr:nvPicPr>
        <xdr:cNvPr id="2" name="Picture 1">
          <a:extLst>
            <a:ext uri="{FF2B5EF4-FFF2-40B4-BE49-F238E27FC236}">
              <a16:creationId xmlns:a16="http://schemas.microsoft.com/office/drawing/2014/main" id="{423A423E-8A8F-CA5D-B085-D160EE188516}"/>
            </a:ext>
          </a:extLst>
        </xdr:cNvPr>
        <xdr:cNvPicPr>
          <a:picLocks noChangeAspect="1"/>
        </xdr:cNvPicPr>
      </xdr:nvPicPr>
      <xdr:blipFill>
        <a:blip xmlns:r="http://schemas.openxmlformats.org/officeDocument/2006/relationships" r:embed="rId1"/>
        <a:stretch>
          <a:fillRect/>
        </a:stretch>
      </xdr:blipFill>
      <xdr:spPr>
        <a:xfrm>
          <a:off x="15508941" y="571500"/>
          <a:ext cx="7250205" cy="38548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16809</xdr:colOff>
      <xdr:row>2</xdr:row>
      <xdr:rowOff>16809</xdr:rowOff>
    </xdr:from>
    <xdr:to>
      <xdr:col>12</xdr:col>
      <xdr:colOff>3284</xdr:colOff>
      <xdr:row>32</xdr:row>
      <xdr:rowOff>0</xdr:rowOff>
    </xdr:to>
    <xdr:pic>
      <xdr:nvPicPr>
        <xdr:cNvPr id="3" name="Picture 2">
          <a:extLst>
            <a:ext uri="{FF2B5EF4-FFF2-40B4-BE49-F238E27FC236}">
              <a16:creationId xmlns:a16="http://schemas.microsoft.com/office/drawing/2014/main" id="{B63FA27B-D846-44EC-3849-8F53B4C08669}"/>
            </a:ext>
          </a:extLst>
        </xdr:cNvPr>
        <xdr:cNvPicPr>
          <a:picLocks noChangeAspect="1"/>
        </xdr:cNvPicPr>
      </xdr:nvPicPr>
      <xdr:blipFill>
        <a:blip xmlns:r="http://schemas.openxmlformats.org/officeDocument/2006/relationships" r:embed="rId1"/>
        <a:stretch>
          <a:fillRect/>
        </a:stretch>
      </xdr:blipFill>
      <xdr:spPr>
        <a:xfrm>
          <a:off x="220447" y="364964"/>
          <a:ext cx="7176208" cy="510698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28</xdr:col>
      <xdr:colOff>13609</xdr:colOff>
      <xdr:row>8</xdr:row>
      <xdr:rowOff>11206</xdr:rowOff>
    </xdr:from>
    <xdr:to>
      <xdr:col>39</xdr:col>
      <xdr:colOff>1</xdr:colOff>
      <xdr:row>14</xdr:row>
      <xdr:rowOff>0</xdr:rowOff>
    </xdr:to>
    <xdr:pic>
      <xdr:nvPicPr>
        <xdr:cNvPr id="2" name="Picture 1" descr="PMXENGN Penumbra System ENGINE">
          <a:extLst>
            <a:ext uri="{FF2B5EF4-FFF2-40B4-BE49-F238E27FC236}">
              <a16:creationId xmlns:a16="http://schemas.microsoft.com/office/drawing/2014/main" id="{9146F734-6709-2090-FF31-F62DC3D0CB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54497" y="4986765"/>
          <a:ext cx="6603761" cy="524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12212</xdr:colOff>
      <xdr:row>16</xdr:row>
      <xdr:rowOff>12210</xdr:rowOff>
    </xdr:from>
    <xdr:to>
      <xdr:col>41</xdr:col>
      <xdr:colOff>0</xdr:colOff>
      <xdr:row>46</xdr:row>
      <xdr:rowOff>6279</xdr:rowOff>
    </xdr:to>
    <xdr:pic>
      <xdr:nvPicPr>
        <xdr:cNvPr id="4" name="Picture 3">
          <a:extLst>
            <a:ext uri="{FF2B5EF4-FFF2-40B4-BE49-F238E27FC236}">
              <a16:creationId xmlns:a16="http://schemas.microsoft.com/office/drawing/2014/main" id="{343A5E14-DAC3-3E7D-3D10-BDA6274BC35C}"/>
            </a:ext>
          </a:extLst>
        </xdr:cNvPr>
        <xdr:cNvPicPr>
          <a:picLocks noChangeAspect="1"/>
        </xdr:cNvPicPr>
      </xdr:nvPicPr>
      <xdr:blipFill>
        <a:blip xmlns:r="http://schemas.openxmlformats.org/officeDocument/2006/relationships" r:embed="rId2"/>
        <a:stretch>
          <a:fillRect/>
        </a:stretch>
      </xdr:blipFill>
      <xdr:spPr>
        <a:xfrm>
          <a:off x="20368847" y="10660672"/>
          <a:ext cx="7766538" cy="5482981"/>
        </a:xfrm>
        <a:prstGeom prst="rect">
          <a:avLst/>
        </a:prstGeom>
      </xdr:spPr>
    </xdr:pic>
    <xdr:clientData/>
  </xdr:twoCellAnchor>
  <xdr:twoCellAnchor>
    <xdr:from>
      <xdr:col>30</xdr:col>
      <xdr:colOff>378558</xdr:colOff>
      <xdr:row>27</xdr:row>
      <xdr:rowOff>158750</xdr:rowOff>
    </xdr:from>
    <xdr:to>
      <xdr:col>32</xdr:col>
      <xdr:colOff>12212</xdr:colOff>
      <xdr:row>30</xdr:row>
      <xdr:rowOff>158750</xdr:rowOff>
    </xdr:to>
    <xdr:sp macro="" textlink="">
      <xdr:nvSpPr>
        <xdr:cNvPr id="5" name="Oval 4">
          <a:extLst>
            <a:ext uri="{FF2B5EF4-FFF2-40B4-BE49-F238E27FC236}">
              <a16:creationId xmlns:a16="http://schemas.microsoft.com/office/drawing/2014/main" id="{6DD6F533-6728-C056-801B-B1C022EB1910}"/>
            </a:ext>
          </a:extLst>
        </xdr:cNvPr>
        <xdr:cNvSpPr/>
      </xdr:nvSpPr>
      <xdr:spPr>
        <a:xfrm>
          <a:off x="21931923" y="12822115"/>
          <a:ext cx="830385" cy="549520"/>
        </a:xfrm>
        <a:prstGeom prst="ellipse">
          <a:avLst/>
        </a:prstGeom>
        <a:noFill/>
        <a:ln w="25400">
          <a:solidFill>
            <a:srgbClr val="FFFF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37</xdr:col>
      <xdr:colOff>402982</xdr:colOff>
      <xdr:row>30</xdr:row>
      <xdr:rowOff>109902</xdr:rowOff>
    </xdr:from>
    <xdr:to>
      <xdr:col>39</xdr:col>
      <xdr:colOff>36636</xdr:colOff>
      <xdr:row>33</xdr:row>
      <xdr:rowOff>109903</xdr:rowOff>
    </xdr:to>
    <xdr:sp macro="" textlink="">
      <xdr:nvSpPr>
        <xdr:cNvPr id="6" name="Oval 5">
          <a:extLst>
            <a:ext uri="{FF2B5EF4-FFF2-40B4-BE49-F238E27FC236}">
              <a16:creationId xmlns:a16="http://schemas.microsoft.com/office/drawing/2014/main" id="{D2020739-63B1-4553-BD82-B15A438D7861}"/>
            </a:ext>
          </a:extLst>
        </xdr:cNvPr>
        <xdr:cNvSpPr/>
      </xdr:nvSpPr>
      <xdr:spPr>
        <a:xfrm>
          <a:off x="26144905" y="13322787"/>
          <a:ext cx="830385" cy="549520"/>
        </a:xfrm>
        <a:prstGeom prst="ellipse">
          <a:avLst/>
        </a:prstGeom>
        <a:noFill/>
        <a:ln w="25400">
          <a:solidFill>
            <a:srgbClr val="FFFF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28</xdr:col>
      <xdr:colOff>0</xdr:colOff>
      <xdr:row>46</xdr:row>
      <xdr:rowOff>6279</xdr:rowOff>
    </xdr:from>
    <xdr:to>
      <xdr:col>41</xdr:col>
      <xdr:colOff>0</xdr:colOff>
      <xdr:row>72</xdr:row>
      <xdr:rowOff>13607</xdr:rowOff>
    </xdr:to>
    <xdr:pic>
      <xdr:nvPicPr>
        <xdr:cNvPr id="7" name="Picture 6" descr="Operation Game">
          <a:extLst>
            <a:ext uri="{FF2B5EF4-FFF2-40B4-BE49-F238E27FC236}">
              <a16:creationId xmlns:a16="http://schemas.microsoft.com/office/drawing/2014/main" id="{CDD5DB95-6E0E-AEB3-4EFC-383B5983A4A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83500" y="15899422"/>
          <a:ext cx="7783286" cy="4620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acob H" id="{598EBCF7-6202-498B-B8DD-217B370E0E02}" userId="6fdd6cd1f6a5d55a" providerId="Windows Live"/>
</personList>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BR39" dT="2025-05-11T05:59:26.41" personId="{598EBCF7-6202-498B-B8DD-217B370E0E02}" id="{D2462D02-1B98-44EA-A716-7C382417314E}">
    <text>FYE: $151M</text>
  </threadedComment>
  <threadedComment ref="BS39" dT="2025-05-11T05:59:41.30" personId="{598EBCF7-6202-498B-B8DD-217B370E0E02}" id="{2DF65260-27C8-4096-8BD4-40C6297DA6CB}">
    <text>FYE: $194M</text>
  </threadedComment>
  <threadedComment ref="BR41" dT="2025-04-20T23:34:23.68" personId="{598EBCF7-6202-498B-B8DD-217B370E0E02}" id="{1AF9D6C3-82F6-4826-8864-190D1181B9CF}">
    <text>Low: 3.37 High: 3.88 Avg: 3.66 (3/30/25)
Excluded one-time write-down of immersive (non-operating)</text>
  </threadedComment>
  <threadedComment ref="BS41" dT="2025-04-16T09:17:41.02" personId="{598EBCF7-6202-498B-B8DD-217B370E0E02}" id="{4D558786-3F37-4C21-9812-E53C0149C98F}">
    <text>Low: 4.29 High: 5.60 Avg: 4.94 (3/30/25)</text>
  </threadedComment>
</ThreadedComments>
</file>

<file path=xl/threadedComments/threadedComment2.xml><?xml version="1.0" encoding="utf-8"?>
<ThreadedComments xmlns="http://schemas.microsoft.com/office/spreadsheetml/2018/threadedcomments" xmlns:x="http://schemas.openxmlformats.org/spreadsheetml/2006/main">
  <threadedComment ref="BR39" dT="2025-05-11T05:59:26.41" personId="{598EBCF7-6202-498B-B8DD-217B370E0E02}" id="{F4C62901-2A8D-4AE7-98F5-C86C99A16FE0}">
    <text>FYE: $151M</text>
  </threadedComment>
  <threadedComment ref="BS39" dT="2025-05-11T05:59:41.30" personId="{598EBCF7-6202-498B-B8DD-217B370E0E02}" id="{3ABE8CFB-5C94-4172-B781-AAA052099CC6}">
    <text>FYE: $194M</text>
  </threadedComment>
  <threadedComment ref="BR41" dT="2025-04-20T23:34:23.68" personId="{598EBCF7-6202-498B-B8DD-217B370E0E02}" id="{DB091BD2-E92B-4C65-84CF-37435A1596A1}">
    <text>Low: 3.37 High: 3.88 Avg: 3.66 (3/30/25)
Excluded one-time write-down of immersive (non-operating)</text>
  </threadedComment>
  <threadedComment ref="BS41" dT="2025-04-16T09:17:41.02" personId="{598EBCF7-6202-498B-B8DD-217B370E0E02}" id="{92B3D3CD-DC2C-48F4-A1D7-C377F3162060}">
    <text>Low: 4.29 High: 5.60 Avg: 4.94 (3/30/25)</text>
  </threadedComment>
</ThreadedComments>
</file>

<file path=xl/threadedComments/threadedComment3.xml><?xml version="1.0" encoding="utf-8"?>
<ThreadedComments xmlns="http://schemas.microsoft.com/office/spreadsheetml/2018/threadedcomments" xmlns:x="http://schemas.openxmlformats.org/spreadsheetml/2006/main">
  <threadedComment ref="BS39" dT="2025-05-11T05:59:26.41" personId="{598EBCF7-6202-498B-B8DD-217B370E0E02}" id="{6EB97345-D629-4C6F-B1AD-4FAE241C1BE8}">
    <text>FYE: $151M</text>
  </threadedComment>
  <threadedComment ref="BT39" dT="2025-05-11T05:59:41.30" personId="{598EBCF7-6202-498B-B8DD-217B370E0E02}" id="{A459AC2A-C70A-443E-A4F3-2864255CF9CF}">
    <text>FYE: $194M</text>
  </threadedComment>
  <threadedComment ref="BS41" dT="2025-04-20T23:34:23.68" personId="{598EBCF7-6202-498B-B8DD-217B370E0E02}" id="{DB8E23E6-6A82-4358-8CEE-477F4374B75E}">
    <text>Low: 3.37 High: 3.88 Avg: 3.66 (3/30/25)
Excluded one-time write-down of immersive (non-operating)</text>
  </threadedComment>
  <threadedComment ref="BT41" dT="2025-04-16T09:17:41.02" personId="{598EBCF7-6202-498B-B8DD-217B370E0E02}" id="{7BE04F7A-518B-4DA6-9093-E1FD84F85E7D}">
    <text>Low: 4.29 High: 5.60 Avg: 4.94 (3/30/25)</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sec.gov/Archives/edgar/data/1321732/000114036125014193/ef20047412_ars.pdf" TargetMode="External"/><Relationship Id="rId18" Type="http://schemas.openxmlformats.org/officeDocument/2006/relationships/hyperlink" Target="mailto:investors@penumbrainc.com" TargetMode="External"/><Relationship Id="rId26" Type="http://schemas.openxmlformats.org/officeDocument/2006/relationships/hyperlink" Target="ANGO_Model.xlsx" TargetMode="External"/><Relationship Id="rId3" Type="http://schemas.openxmlformats.org/officeDocument/2006/relationships/hyperlink" Target="../../../../../../../../../Desktop/Equity%20Research/Models/Health%20Care/MedTech/000%20Med-Devices%20Master%20List%20000.xlsx" TargetMode="External"/><Relationship Id="rId21" Type="http://schemas.openxmlformats.org/officeDocument/2006/relationships/hyperlink" Target="https://www.macrotrends.net/stocks/charts/PEN/penumbra/income-statement?freq=Q" TargetMode="External"/><Relationship Id="rId34" Type="http://schemas.openxmlformats.org/officeDocument/2006/relationships/hyperlink" Target="Milli-Spinner%20Thrombectomy%20Device.docx" TargetMode="External"/><Relationship Id="rId7" Type="http://schemas.openxmlformats.org/officeDocument/2006/relationships/hyperlink" Target="https://ppubs.uspto.gov/pubwebapp/static/pages/ppubsbasic.html" TargetMode="External"/><Relationship Id="rId12" Type="http://schemas.openxmlformats.org/officeDocument/2006/relationships/hyperlink" Target="https://www.penumbrainc.com/about-us/leadership/" TargetMode="External"/><Relationship Id="rId17" Type="http://schemas.openxmlformats.org/officeDocument/2006/relationships/hyperlink" Target="https://pubmed.ncbi.nlm.nih.gov/" TargetMode="External"/><Relationship Id="rId25" Type="http://schemas.openxmlformats.org/officeDocument/2006/relationships/hyperlink" Target="https://fdaaa.trialstracker.net/" TargetMode="External"/><Relationship Id="rId33" Type="http://schemas.openxmlformats.org/officeDocument/2006/relationships/hyperlink" Target="ABT_Model.xlsx" TargetMode="External"/><Relationship Id="rId2" Type="http://schemas.openxmlformats.org/officeDocument/2006/relationships/hyperlink" Target="NARI_Model.xlsx" TargetMode="External"/><Relationship Id="rId16" Type="http://schemas.openxmlformats.org/officeDocument/2006/relationships/hyperlink" Target="https://app.godelterminal.com/" TargetMode="External"/><Relationship Id="rId20" Type="http://schemas.openxmlformats.org/officeDocument/2006/relationships/hyperlink" Target="https://www.medtechdive.com/news/stryker-inari-medical-acquisition/736615/" TargetMode="External"/><Relationship Id="rId29" Type="http://schemas.openxmlformats.org/officeDocument/2006/relationships/hyperlink" Target="LMAT_Model.xlsx" TargetMode="External"/><Relationship Id="rId1" Type="http://schemas.openxmlformats.org/officeDocument/2006/relationships/hyperlink" Target="SYK_Model.xlsx" TargetMode="External"/><Relationship Id="rId6" Type="http://schemas.openxmlformats.org/officeDocument/2006/relationships/hyperlink" Target="https://www.penumbrainc.com/patents/" TargetMode="External"/><Relationship Id="rId11" Type="http://schemas.openxmlformats.org/officeDocument/2006/relationships/hyperlink" Target="https://evtoday.com/" TargetMode="External"/><Relationship Id="rId24" Type="http://schemas.openxmlformats.org/officeDocument/2006/relationships/hyperlink" Target="https://clinicaltrials.gov/" TargetMode="External"/><Relationship Id="rId32" Type="http://schemas.openxmlformats.org/officeDocument/2006/relationships/hyperlink" Target="https://www.heart.org/en/" TargetMode="External"/><Relationship Id="rId5" Type="http://schemas.openxmlformats.org/officeDocument/2006/relationships/hyperlink" Target="https://ppubs.uspto.gov/pubwebapp/static/pages/ppubsbasic.html" TargetMode="External"/><Relationship Id="rId15" Type="http://schemas.openxmlformats.org/officeDocument/2006/relationships/hyperlink" Target="https://ppubs.uspto.gov/pubwebapp/static/pages/ppubsbasic.html" TargetMode="External"/><Relationship Id="rId23" Type="http://schemas.openxmlformats.org/officeDocument/2006/relationships/hyperlink" Target="https://viewpoint.pwc.com/dt/us/en/pwc/accounting_guides/revenue" TargetMode="External"/><Relationship Id="rId28" Type="http://schemas.openxmlformats.org/officeDocument/2006/relationships/hyperlink" Target="https://seekingalpha.com/symbol/PEN/earnings/transcripts" TargetMode="External"/><Relationship Id="rId36" Type="http://schemas.openxmlformats.org/officeDocument/2006/relationships/drawing" Target="../drawings/drawing1.xml"/><Relationship Id="rId10" Type="http://schemas.openxmlformats.org/officeDocument/2006/relationships/hyperlink" Target="EW_Model.xlsx" TargetMode="External"/><Relationship Id="rId19" Type="http://schemas.openxmlformats.org/officeDocument/2006/relationships/hyperlink" Target="https://www.penumbrainc.com/patents/" TargetMode="External"/><Relationship Id="rId31" Type="http://schemas.openxmlformats.org/officeDocument/2006/relationships/hyperlink" Target="TFX_Model.xlsx" TargetMode="External"/><Relationship Id="rId4" Type="http://schemas.openxmlformats.org/officeDocument/2006/relationships/hyperlink" Target="BSX_Model.xlsx" TargetMode="External"/><Relationship Id="rId9" Type="http://schemas.openxmlformats.org/officeDocument/2006/relationships/hyperlink" Target="MDT_Model.xlsx" TargetMode="External"/><Relationship Id="rId14" Type="http://schemas.openxmlformats.org/officeDocument/2006/relationships/hyperlink" Target="https://www.fda.gov/medical-devices" TargetMode="External"/><Relationship Id="rId22" Type="http://schemas.openxmlformats.org/officeDocument/2006/relationships/hyperlink" Target="https://www.penumbrainc.com/" TargetMode="External"/><Relationship Id="rId27" Type="http://schemas.openxmlformats.org/officeDocument/2006/relationships/hyperlink" Target="https://www.gurufocus.com/term/wacc/PEN" TargetMode="External"/><Relationship Id="rId30" Type="http://schemas.openxmlformats.org/officeDocument/2006/relationships/hyperlink" Target="JNJ_Model.xlsx" TargetMode="External"/><Relationship Id="rId35" Type="http://schemas.openxmlformats.org/officeDocument/2006/relationships/printerSettings" Target="../printerSettings/printerSettings1.bin"/><Relationship Id="rId8" Type="http://schemas.openxmlformats.org/officeDocument/2006/relationships/hyperlink" Target="https://www.sec.gov/edgar/browse/?CIK=1321732&amp;owner=exclud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8" Type="http://schemas.openxmlformats.org/officeDocument/2006/relationships/hyperlink" Target="https://clinicaltrials.gov/study/NCT05684796?term=STORM%20Penumbra&amp;rank=1" TargetMode="External"/><Relationship Id="rId3" Type="http://schemas.openxmlformats.org/officeDocument/2006/relationships/hyperlink" Target="https://pubmed.ncbi.nlm.nih.gov/34706845/" TargetMode="External"/><Relationship Id="rId7" Type="http://schemas.openxmlformats.org/officeDocument/2006/relationships/hyperlink" Target="https://fdaaa.trialstracker.net/trial/NCT05437055/" TargetMode="External"/><Relationship Id="rId2" Type="http://schemas.openxmlformats.org/officeDocument/2006/relationships/hyperlink" Target="https://pubmed.ncbi.nlm.nih.gov/37084878/" TargetMode="External"/><Relationship Id="rId1" Type="http://schemas.openxmlformats.org/officeDocument/2006/relationships/hyperlink" Target="https://pubmed.ncbi.nlm.nih.gov/?term=Penumbra+Inc" TargetMode="External"/><Relationship Id="rId6" Type="http://schemas.openxmlformats.org/officeDocument/2006/relationships/hyperlink" Target="https://clinicaltrials.gov/search?intr=Thrombectomy" TargetMode="External"/><Relationship Id="rId11" Type="http://schemas.openxmlformats.org/officeDocument/2006/relationships/drawing" Target="../drawings/drawing5.xml"/><Relationship Id="rId5" Type="http://schemas.openxmlformats.org/officeDocument/2006/relationships/hyperlink" Target="https://clinicaltrials.gov/" TargetMode="External"/><Relationship Id="rId10" Type="http://schemas.openxmlformats.org/officeDocument/2006/relationships/hyperlink" Target="Milli-Spinner%20Thrombectomy%20Device%20Report.docx" TargetMode="External"/><Relationship Id="rId4" Type="http://schemas.openxmlformats.org/officeDocument/2006/relationships/hyperlink" Target="https://clinicaltrials.gov/study/NCT05437055" TargetMode="External"/><Relationship Id="rId9" Type="http://schemas.openxmlformats.org/officeDocument/2006/relationships/hyperlink" Target="Aspirational%20Thrombectomy%20Devices.docx"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penumbrainc.com/penumbra-inc-announces-completion-of-enrollment-for-landmark-storm-pe-randomized-controlled-trial/" TargetMode="External"/><Relationship Id="rId2" Type="http://schemas.openxmlformats.org/officeDocument/2006/relationships/hyperlink" Target="https://evtoday.com/news/penumbra-introduces-red-72-silver-label-large-bore-reperfusion-catheter?c4src=news-landing" TargetMode="External"/><Relationship Id="rId1" Type="http://schemas.openxmlformats.org/officeDocument/2006/relationships/hyperlink" Target="https://evtoday.com/news/penumbra-commences-stride-ii-of-lightning-bolt-cavt-to-treat-lower-extremity-ali?c4src=hom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massdevice.com/penumbra-clears-125m-in-ipo/" TargetMode="External"/><Relationship Id="rId1" Type="http://schemas.openxmlformats.org/officeDocument/2006/relationships/hyperlink" Target="https://www.penumbrainc.com/penumbra-inc-announces-pricing-of-initial-public-offering/"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www.sec.gov/Archives/edgar/data/1321732/000114036125014193/ef20047412_ars.pdf" TargetMode="External"/><Relationship Id="rId1" Type="http://schemas.openxmlformats.org/officeDocument/2006/relationships/hyperlink" Target="https://www.penumbrainc.com/about-us/leadership/"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clinicaltrials.gov/study/NCT05437055" TargetMode="External"/><Relationship Id="rId2" Type="http://schemas.openxmlformats.org/officeDocument/2006/relationships/hyperlink" Target="https://fdaaa.trialstracker.net/trial/NCT05437055/" TargetMode="External"/><Relationship Id="rId1" Type="http://schemas.openxmlformats.org/officeDocument/2006/relationships/hyperlink" Target="https://interventionalnews.com/penumbra-announces-completion-of-enrolment-in-thunder-ide-study/"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www.penumbrainc.com/products/peripheral-thrombectomy-cavt/" TargetMode="External"/><Relationship Id="rId1" Type="http://schemas.openxmlformats.org/officeDocument/2006/relationships/hyperlink" Target="https://venousnews.com/penumbra-announces-fda-clearance-of-lightning-flash-2-for-the-treatment-of-pe-2/"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fdaaa.trialstracker.net/trial/NCT05437055/" TargetMode="External"/><Relationship Id="rId2" Type="http://schemas.openxmlformats.org/officeDocument/2006/relationships/hyperlink" Target="https://interventionalnews.com/penumbra-announces-completion-of-enrolment-in-thunder-ide-study/" TargetMode="External"/><Relationship Id="rId1" Type="http://schemas.openxmlformats.org/officeDocument/2006/relationships/hyperlink" Target="https://www.penumbrainc.com/products/neuro-thrombectomy/" TargetMode="External"/><Relationship Id="rId4" Type="http://schemas.openxmlformats.org/officeDocument/2006/relationships/hyperlink" Target="https://clinicaltrials.gov/study/NCT05437055"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penumbrainc.com/products/pod/" TargetMode="External"/><Relationship Id="rId7" Type="http://schemas.openxmlformats.org/officeDocument/2006/relationships/hyperlink" Target="https://www.penumbrainc.com/products/ruby-coil/" TargetMode="External"/><Relationship Id="rId2" Type="http://schemas.openxmlformats.org/officeDocument/2006/relationships/hyperlink" Target="https://www.penumbrainc.com/products/lp-system/" TargetMode="External"/><Relationship Id="rId1" Type="http://schemas.openxmlformats.org/officeDocument/2006/relationships/hyperlink" Target="https://evtoday.com/articles/2020-apr/penumbras-complete-embolization-platform-now-with-low-profile-compatibility" TargetMode="External"/><Relationship Id="rId6" Type="http://schemas.openxmlformats.org/officeDocument/2006/relationships/hyperlink" Target="https://medtechspectrum.com/interviews/22/24428/penumbra-reaches-new-heights-with-ruby-xl-advancing-precision-in-vascular-embolization.html" TargetMode="External"/><Relationship Id="rId5" Type="http://schemas.openxmlformats.org/officeDocument/2006/relationships/hyperlink" Target="https://www.penumbrainc.com/products/lantern-delivery-microcatheter/" TargetMode="External"/><Relationship Id="rId4" Type="http://schemas.openxmlformats.org/officeDocument/2006/relationships/hyperlink" Target="https://www.penumbrainc.com/products/packing-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U378"/>
  <sheetViews>
    <sheetView zoomScale="85" zoomScaleNormal="85" workbookViewId="0">
      <selection activeCell="C3" sqref="C3:C8"/>
    </sheetView>
  </sheetViews>
  <sheetFormatPr defaultColWidth="9.140625" defaultRowHeight="13.5" customHeight="1"/>
  <cols>
    <col min="1" max="1" width="2.85546875" style="2" customWidth="1"/>
    <col min="2" max="4" width="9" style="2" customWidth="1"/>
    <col min="5" max="5" width="10.140625" style="2" customWidth="1"/>
    <col min="6" max="6" width="10.5703125" style="2" customWidth="1"/>
    <col min="7" max="10" width="9.140625" style="2"/>
    <col min="11" max="11" width="9" style="2" customWidth="1"/>
    <col min="12" max="12" width="9.140625" style="2"/>
    <col min="13" max="14" width="9.140625" style="2" customWidth="1"/>
    <col min="15" max="15" width="9" style="2" customWidth="1"/>
    <col min="16" max="19" width="9.140625" style="2"/>
    <col min="20" max="20" width="9.140625" style="2" customWidth="1"/>
    <col min="21" max="30" width="9.140625" style="2"/>
    <col min="31" max="31" width="8.5703125" style="2" customWidth="1"/>
    <col min="32" max="32" width="9.140625" style="2" customWidth="1"/>
    <col min="33" max="16384" width="9.140625" style="2"/>
  </cols>
  <sheetData>
    <row r="1" spans="1:99" ht="13.5" customHeight="1">
      <c r="A1" s="45" t="s">
        <v>468</v>
      </c>
      <c r="CU1" s="2" t="s">
        <v>322</v>
      </c>
    </row>
    <row r="2" spans="1:99" ht="13.5" customHeight="1">
      <c r="B2" s="1" t="s">
        <v>4</v>
      </c>
      <c r="AN2" s="2" t="s">
        <v>339</v>
      </c>
    </row>
    <row r="3" spans="1:99" ht="13.5" customHeight="1">
      <c r="B3" s="2" t="s">
        <v>1574</v>
      </c>
      <c r="C3" s="265">
        <v>319.11</v>
      </c>
      <c r="D3" s="46" t="s">
        <v>2583</v>
      </c>
      <c r="P3" s="2" t="s">
        <v>1520</v>
      </c>
    </row>
    <row r="4" spans="1:99" ht="13.5" customHeight="1">
      <c r="B4" s="2" t="s">
        <v>428</v>
      </c>
      <c r="C4" s="266">
        <v>39.389000000000003</v>
      </c>
      <c r="D4" s="47" t="s">
        <v>2584</v>
      </c>
      <c r="P4" s="2" t="s">
        <v>2092</v>
      </c>
      <c r="S4" s="45" t="s">
        <v>536</v>
      </c>
      <c r="AN4" s="2" t="s">
        <v>323</v>
      </c>
    </row>
    <row r="5" spans="1:99" ht="13.5" customHeight="1">
      <c r="B5" s="2" t="s">
        <v>0</v>
      </c>
      <c r="C5" s="267">
        <f>C3*C4</f>
        <v>12569.423790000001</v>
      </c>
      <c r="P5" s="2" t="s">
        <v>1617</v>
      </c>
      <c r="S5" s="45" t="s">
        <v>1618</v>
      </c>
      <c r="AP5" s="2" t="s">
        <v>324</v>
      </c>
    </row>
    <row r="6" spans="1:99" ht="13.5" customHeight="1">
      <c r="B6" s="2" t="s">
        <v>1</v>
      </c>
      <c r="C6" s="267">
        <f>205.271+453.52</f>
        <v>658.79099999999994</v>
      </c>
      <c r="D6" s="47" t="s">
        <v>2584</v>
      </c>
      <c r="Q6" s="2" t="s">
        <v>1533</v>
      </c>
      <c r="T6" s="45" t="s">
        <v>467</v>
      </c>
    </row>
    <row r="7" spans="1:99" ht="13.5" customHeight="1">
      <c r="B7" s="2" t="s">
        <v>2</v>
      </c>
      <c r="C7" s="267">
        <v>0</v>
      </c>
      <c r="D7" s="47" t="s">
        <v>2584</v>
      </c>
      <c r="P7" s="2" t="s">
        <v>1521</v>
      </c>
      <c r="R7" s="48"/>
      <c r="S7" s="45" t="s">
        <v>558</v>
      </c>
      <c r="AN7" s="2" t="s">
        <v>542</v>
      </c>
      <c r="AP7" s="2" t="s">
        <v>1728</v>
      </c>
    </row>
    <row r="8" spans="1:99" ht="13.5" customHeight="1">
      <c r="B8" s="2" t="s">
        <v>3</v>
      </c>
      <c r="C8" s="267">
        <f>C5-C6+C7</f>
        <v>11910.632790000001</v>
      </c>
      <c r="D8" s="47"/>
      <c r="P8" s="2" t="s">
        <v>1524</v>
      </c>
      <c r="S8" s="45" t="s">
        <v>1525</v>
      </c>
    </row>
    <row r="9" spans="1:99" ht="13.5" customHeight="1">
      <c r="Q9" s="2" t="s">
        <v>1523</v>
      </c>
      <c r="S9" s="45"/>
      <c r="T9" s="45" t="s">
        <v>528</v>
      </c>
      <c r="AN9" s="2" t="s">
        <v>2066</v>
      </c>
    </row>
    <row r="10" spans="1:99" ht="13.5" customHeight="1">
      <c r="B10" s="1" t="s">
        <v>460</v>
      </c>
      <c r="P10" s="2" t="s">
        <v>539</v>
      </c>
      <c r="S10" s="45" t="s">
        <v>1537</v>
      </c>
    </row>
    <row r="11" spans="1:99" ht="13.5" customHeight="1">
      <c r="P11" s="2" t="s">
        <v>1912</v>
      </c>
      <c r="S11" s="45" t="s">
        <v>1901</v>
      </c>
      <c r="T11" s="45"/>
      <c r="AN11" s="2" t="s">
        <v>338</v>
      </c>
    </row>
    <row r="12" spans="1:99" ht="13.5" customHeight="1">
      <c r="B12" s="2" t="s">
        <v>1619</v>
      </c>
      <c r="G12" s="2" t="s">
        <v>487</v>
      </c>
      <c r="Q12" s="2" t="s">
        <v>1914</v>
      </c>
      <c r="S12" s="45"/>
      <c r="T12" s="45" t="s">
        <v>1913</v>
      </c>
    </row>
    <row r="13" spans="1:99" ht="13.5" customHeight="1">
      <c r="B13" s="2" t="s">
        <v>6</v>
      </c>
      <c r="G13" s="2" t="s">
        <v>486</v>
      </c>
      <c r="P13" s="2" t="s">
        <v>1536</v>
      </c>
      <c r="S13" s="45" t="s">
        <v>1522</v>
      </c>
      <c r="AN13" s="2" t="s">
        <v>1729</v>
      </c>
      <c r="AP13" s="2" t="s">
        <v>1730</v>
      </c>
    </row>
    <row r="14" spans="1:99" ht="13.5" customHeight="1">
      <c r="B14" s="2" t="s">
        <v>2064</v>
      </c>
      <c r="G14" s="2" t="s">
        <v>1538</v>
      </c>
      <c r="P14" s="2" t="s">
        <v>2069</v>
      </c>
      <c r="S14" s="45" t="s">
        <v>1519</v>
      </c>
    </row>
    <row r="15" spans="1:99" ht="13.5" customHeight="1">
      <c r="B15" s="2" t="s">
        <v>669</v>
      </c>
      <c r="H15" s="2" t="s">
        <v>1539</v>
      </c>
      <c r="J15" s="2" t="s">
        <v>1954</v>
      </c>
      <c r="P15" s="2" t="s">
        <v>1611</v>
      </c>
      <c r="S15" s="45" t="s">
        <v>1614</v>
      </c>
    </row>
    <row r="16" spans="1:99" ht="13.5" customHeight="1">
      <c r="B16" s="2" t="s">
        <v>2125</v>
      </c>
      <c r="H16" s="2" t="s">
        <v>1540</v>
      </c>
      <c r="I16" s="2" t="s">
        <v>1624</v>
      </c>
      <c r="K16" s="2" t="s">
        <v>1541</v>
      </c>
      <c r="L16" s="45" t="s">
        <v>1542</v>
      </c>
      <c r="P16" s="2" t="s">
        <v>2068</v>
      </c>
      <c r="S16" s="45" t="s">
        <v>2067</v>
      </c>
    </row>
    <row r="17" spans="1:19" ht="13.5" customHeight="1">
      <c r="B17" s="2" t="s">
        <v>1602</v>
      </c>
      <c r="I17" s="2" t="s">
        <v>1623</v>
      </c>
      <c r="P17" s="2" t="s">
        <v>1612</v>
      </c>
      <c r="S17" s="45" t="s">
        <v>1615</v>
      </c>
    </row>
    <row r="18" spans="1:19" ht="13.5" customHeight="1">
      <c r="B18" s="2" t="s">
        <v>1603</v>
      </c>
      <c r="K18" s="45"/>
      <c r="P18" s="2" t="s">
        <v>1613</v>
      </c>
      <c r="S18" s="45" t="s">
        <v>1616</v>
      </c>
    </row>
    <row r="19" spans="1:19" ht="13.5" customHeight="1">
      <c r="B19" s="2" t="s">
        <v>2588</v>
      </c>
      <c r="K19" s="45"/>
      <c r="P19" s="2" t="s">
        <v>1535</v>
      </c>
      <c r="R19" s="48"/>
      <c r="S19" s="45" t="s">
        <v>2061</v>
      </c>
    </row>
    <row r="20" spans="1:19" ht="13.5" customHeight="1">
      <c r="B20" s="2" t="s">
        <v>2581</v>
      </c>
      <c r="K20" s="45"/>
      <c r="P20" s="2" t="s">
        <v>537</v>
      </c>
      <c r="S20" s="45" t="s">
        <v>1534</v>
      </c>
    </row>
    <row r="21" spans="1:19" ht="13.5" customHeight="1">
      <c r="K21" s="45"/>
    </row>
    <row r="22" spans="1:19" ht="13.5" customHeight="1">
      <c r="A22" s="1" t="s">
        <v>5</v>
      </c>
      <c r="B22" s="1"/>
    </row>
    <row r="23" spans="1:19" ht="13.5" customHeight="1">
      <c r="A23" s="1"/>
      <c r="B23" s="2" t="s">
        <v>2042</v>
      </c>
    </row>
    <row r="24" spans="1:19" ht="13.5" customHeight="1">
      <c r="A24" s="1"/>
      <c r="B24" s="2" t="s">
        <v>2039</v>
      </c>
    </row>
    <row r="25" spans="1:19" ht="13.5" customHeight="1">
      <c r="A25" s="1"/>
      <c r="C25" s="2" t="s">
        <v>2040</v>
      </c>
    </row>
    <row r="26" spans="1:19" ht="13.5" customHeight="1">
      <c r="A26" s="1"/>
      <c r="D26" s="2" t="s">
        <v>1854</v>
      </c>
    </row>
    <row r="27" spans="1:19" ht="13.5" customHeight="1">
      <c r="A27" s="1"/>
      <c r="E27" s="2" t="s">
        <v>2120</v>
      </c>
    </row>
    <row r="28" spans="1:19" ht="13.5" customHeight="1">
      <c r="A28" s="1"/>
      <c r="D28" s="2" t="s">
        <v>2041</v>
      </c>
    </row>
    <row r="29" spans="1:19" ht="13.5" customHeight="1">
      <c r="A29" s="1"/>
      <c r="E29" s="2" t="s">
        <v>2121</v>
      </c>
    </row>
    <row r="30" spans="1:19" ht="13.5" customHeight="1">
      <c r="B30" s="2" t="s">
        <v>2122</v>
      </c>
    </row>
    <row r="31" spans="1:19" ht="13.5" customHeight="1">
      <c r="C31" s="2" t="s">
        <v>318</v>
      </c>
    </row>
    <row r="32" spans="1:19" ht="13.5" customHeight="1">
      <c r="C32" s="2" t="s">
        <v>319</v>
      </c>
    </row>
    <row r="33" spans="2:4" ht="13.5" customHeight="1">
      <c r="C33" s="2" t="s">
        <v>320</v>
      </c>
    </row>
    <row r="34" spans="2:4" ht="13.5" customHeight="1">
      <c r="C34" s="2" t="s">
        <v>321</v>
      </c>
    </row>
    <row r="35" spans="2:4" ht="13.5" customHeight="1">
      <c r="C35" s="2" t="s">
        <v>2582</v>
      </c>
    </row>
    <row r="36" spans="2:4" ht="13.5" customHeight="1">
      <c r="D36" s="2" t="s">
        <v>1516</v>
      </c>
    </row>
    <row r="37" spans="2:4" ht="13.5" customHeight="1">
      <c r="D37" s="2" t="s">
        <v>2072</v>
      </c>
    </row>
    <row r="38" spans="2:4" ht="13.5" customHeight="1">
      <c r="B38" s="2" t="s">
        <v>1579</v>
      </c>
    </row>
    <row r="39" spans="2:4" ht="13.5" customHeight="1">
      <c r="C39" s="2" t="s">
        <v>1578</v>
      </c>
    </row>
    <row r="40" spans="2:4" ht="13.5" customHeight="1">
      <c r="D40" s="2" t="s">
        <v>2124</v>
      </c>
    </row>
    <row r="41" spans="2:4" ht="13.5" customHeight="1">
      <c r="C41" s="2" t="s">
        <v>2123</v>
      </c>
    </row>
    <row r="42" spans="2:4" ht="13.5" customHeight="1">
      <c r="B42" s="2" t="s">
        <v>325</v>
      </c>
    </row>
    <row r="43" spans="2:4" ht="13.5" customHeight="1">
      <c r="C43" s="2" t="s">
        <v>328</v>
      </c>
    </row>
    <row r="44" spans="2:4" ht="13.5" customHeight="1">
      <c r="C44" s="2" t="s">
        <v>327</v>
      </c>
    </row>
    <row r="45" spans="2:4" ht="13.5" customHeight="1">
      <c r="D45" s="2" t="s">
        <v>326</v>
      </c>
    </row>
    <row r="46" spans="2:4" ht="13.5" customHeight="1">
      <c r="B46" s="2" t="s">
        <v>1785</v>
      </c>
    </row>
    <row r="47" spans="2:4" ht="13.5" customHeight="1">
      <c r="B47" s="2" t="s">
        <v>1786</v>
      </c>
    </row>
    <row r="49" spans="1:4" ht="13.5" customHeight="1">
      <c r="A49" s="1" t="s">
        <v>329</v>
      </c>
    </row>
    <row r="50" spans="1:4" ht="13.5" customHeight="1">
      <c r="B50" s="2" t="s">
        <v>330</v>
      </c>
    </row>
    <row r="51" spans="1:4" ht="13.5" customHeight="1">
      <c r="C51" s="2" t="s">
        <v>331</v>
      </c>
    </row>
    <row r="52" spans="1:4" ht="13.5" customHeight="1">
      <c r="B52" s="2" t="s">
        <v>354</v>
      </c>
    </row>
    <row r="53" spans="1:4" ht="13.5" customHeight="1">
      <c r="C53" s="2" t="s">
        <v>1580</v>
      </c>
    </row>
    <row r="54" spans="1:4" ht="13.5" customHeight="1">
      <c r="C54" s="2" t="s">
        <v>355</v>
      </c>
    </row>
    <row r="55" spans="1:4" ht="13.5" customHeight="1">
      <c r="B55" s="2" t="s">
        <v>2126</v>
      </c>
    </row>
    <row r="56" spans="1:4" ht="13.5" customHeight="1">
      <c r="C56" s="2" t="s">
        <v>356</v>
      </c>
    </row>
    <row r="57" spans="1:4" ht="13.5" customHeight="1">
      <c r="C57" s="2" t="s">
        <v>1581</v>
      </c>
    </row>
    <row r="59" spans="1:4" ht="13.5" customHeight="1">
      <c r="A59" s="1" t="s">
        <v>332</v>
      </c>
    </row>
    <row r="60" spans="1:4" ht="13.5" customHeight="1">
      <c r="B60" s="2" t="s">
        <v>653</v>
      </c>
    </row>
    <row r="61" spans="1:4" ht="13.5" customHeight="1">
      <c r="C61" s="2" t="s">
        <v>1582</v>
      </c>
    </row>
    <row r="62" spans="1:4" ht="13.5" customHeight="1">
      <c r="C62" s="2" t="s">
        <v>1583</v>
      </c>
    </row>
    <row r="63" spans="1:4" ht="13.5" customHeight="1">
      <c r="C63" s="2" t="s">
        <v>333</v>
      </c>
    </row>
    <row r="64" spans="1:4" ht="13.5" customHeight="1">
      <c r="D64" s="2" t="s">
        <v>1584</v>
      </c>
    </row>
    <row r="65" spans="2:39" ht="13.5" customHeight="1">
      <c r="B65" s="2" t="s">
        <v>514</v>
      </c>
    </row>
    <row r="67" spans="2:39" ht="13.5" customHeight="1">
      <c r="B67" s="5"/>
      <c r="C67" s="6"/>
      <c r="D67" s="6"/>
      <c r="E67" s="7" t="s">
        <v>2076</v>
      </c>
      <c r="G67" s="1" t="s">
        <v>370</v>
      </c>
    </row>
    <row r="68" spans="2:39" ht="13.5" customHeight="1">
      <c r="B68" s="49" t="s">
        <v>346</v>
      </c>
      <c r="C68" s="50"/>
      <c r="D68" s="51"/>
      <c r="E68" s="52" t="s">
        <v>2079</v>
      </c>
      <c r="H68" s="2" t="s">
        <v>337</v>
      </c>
    </row>
    <row r="69" spans="2:39" ht="13.5" customHeight="1">
      <c r="B69" s="53" t="s">
        <v>414</v>
      </c>
      <c r="C69" s="54"/>
      <c r="D69" s="55"/>
      <c r="E69" s="56" t="s">
        <v>1812</v>
      </c>
      <c r="I69" s="2" t="s">
        <v>1585</v>
      </c>
    </row>
    <row r="70" spans="2:39" ht="13.5" customHeight="1">
      <c r="B70" s="57" t="s">
        <v>643</v>
      </c>
      <c r="C70" s="58"/>
      <c r="D70" s="59"/>
      <c r="E70" s="60" t="s">
        <v>2080</v>
      </c>
      <c r="I70" s="1" t="s">
        <v>357</v>
      </c>
    </row>
    <row r="71" spans="2:39" ht="13.5" customHeight="1">
      <c r="B71" s="2" t="s">
        <v>2077</v>
      </c>
      <c r="E71" s="2" t="s">
        <v>2078</v>
      </c>
      <c r="I71" s="2" t="s">
        <v>1586</v>
      </c>
      <c r="AL71" s="61"/>
      <c r="AM71" s="61"/>
    </row>
    <row r="72" spans="2:39" ht="13.5" customHeight="1">
      <c r="AL72" s="61"/>
      <c r="AM72" s="61"/>
    </row>
    <row r="73" spans="2:39" ht="13.5" customHeight="1">
      <c r="B73" s="3"/>
      <c r="C73" s="4"/>
      <c r="D73" s="4"/>
      <c r="E73" s="7" t="s">
        <v>2076</v>
      </c>
      <c r="G73" s="62" t="s">
        <v>334</v>
      </c>
    </row>
    <row r="74" spans="2:39" ht="13.5" customHeight="1">
      <c r="B74" s="49" t="s">
        <v>408</v>
      </c>
      <c r="C74" s="50"/>
      <c r="D74" s="51"/>
      <c r="E74" s="63" t="s">
        <v>1812</v>
      </c>
      <c r="G74" s="64"/>
      <c r="H74" s="2" t="s">
        <v>348</v>
      </c>
    </row>
    <row r="75" spans="2:39" ht="13.5" customHeight="1">
      <c r="B75" s="53" t="s">
        <v>413</v>
      </c>
      <c r="C75" s="54"/>
      <c r="D75" s="55"/>
      <c r="E75" s="65" t="s">
        <v>1813</v>
      </c>
      <c r="G75" s="64"/>
      <c r="I75" s="2" t="s">
        <v>1587</v>
      </c>
    </row>
    <row r="76" spans="2:39" ht="13.5" customHeight="1">
      <c r="B76" s="57" t="s">
        <v>642</v>
      </c>
      <c r="C76" s="58"/>
      <c r="D76" s="59"/>
      <c r="E76" s="66" t="s">
        <v>1814</v>
      </c>
      <c r="G76" s="64"/>
      <c r="I76" s="2" t="s">
        <v>2093</v>
      </c>
    </row>
    <row r="77" spans="2:39" ht="13.5" customHeight="1">
      <c r="B77" s="2" t="s">
        <v>2077</v>
      </c>
      <c r="E77" s="2" t="s">
        <v>2081</v>
      </c>
      <c r="G77" s="64"/>
      <c r="I77" s="2" t="s">
        <v>1588</v>
      </c>
    </row>
    <row r="78" spans="2:39" ht="13.5" customHeight="1">
      <c r="G78" s="64"/>
    </row>
    <row r="79" spans="2:39" ht="13.5" customHeight="1">
      <c r="B79" s="4"/>
      <c r="C79" s="4"/>
      <c r="D79" s="4"/>
      <c r="E79" s="7" t="s">
        <v>2076</v>
      </c>
      <c r="G79" s="62" t="s">
        <v>335</v>
      </c>
    </row>
    <row r="80" spans="2:39" ht="13.5" customHeight="1">
      <c r="B80" s="49" t="s">
        <v>409</v>
      </c>
      <c r="C80" s="50"/>
      <c r="D80" s="51"/>
      <c r="E80" s="63" t="s">
        <v>1815</v>
      </c>
      <c r="G80" s="62"/>
      <c r="H80" s="2" t="s">
        <v>349</v>
      </c>
    </row>
    <row r="81" spans="2:12" ht="13.5" customHeight="1">
      <c r="B81" s="53" t="s">
        <v>412</v>
      </c>
      <c r="C81" s="54"/>
      <c r="D81" s="55"/>
      <c r="E81" s="65" t="s">
        <v>1816</v>
      </c>
      <c r="G81" s="62"/>
      <c r="I81" s="2" t="s">
        <v>1589</v>
      </c>
    </row>
    <row r="82" spans="2:12" ht="13.5" customHeight="1">
      <c r="B82" s="57" t="s">
        <v>641</v>
      </c>
      <c r="C82" s="58"/>
      <c r="D82" s="59"/>
      <c r="E82" s="66" t="s">
        <v>1817</v>
      </c>
      <c r="G82" s="62"/>
      <c r="I82" s="2" t="s">
        <v>1590</v>
      </c>
    </row>
    <row r="83" spans="2:12" ht="13.5" customHeight="1">
      <c r="B83" s="2" t="s">
        <v>2077</v>
      </c>
      <c r="E83" s="2" t="s">
        <v>2082</v>
      </c>
      <c r="G83" s="62"/>
      <c r="H83" s="67"/>
      <c r="I83" s="2" t="s">
        <v>1591</v>
      </c>
      <c r="K83" s="67"/>
      <c r="L83" s="67"/>
    </row>
    <row r="84" spans="2:12" ht="13.5" customHeight="1">
      <c r="G84" s="62"/>
      <c r="K84" s="67"/>
      <c r="L84" s="67"/>
    </row>
    <row r="85" spans="2:12" ht="13.5" customHeight="1">
      <c r="B85" s="4"/>
      <c r="C85" s="4"/>
      <c r="D85" s="4"/>
      <c r="E85" s="7" t="s">
        <v>2076</v>
      </c>
      <c r="G85" s="62" t="s">
        <v>336</v>
      </c>
    </row>
    <row r="86" spans="2:12" ht="13.5" customHeight="1">
      <c r="B86" s="49" t="s">
        <v>410</v>
      </c>
      <c r="C86" s="50"/>
      <c r="D86" s="51"/>
      <c r="E86" s="63" t="s">
        <v>1818</v>
      </c>
      <c r="G86" s="62"/>
      <c r="H86" s="2" t="s">
        <v>2083</v>
      </c>
    </row>
    <row r="87" spans="2:12" ht="13.5" customHeight="1">
      <c r="B87" s="53" t="s">
        <v>411</v>
      </c>
      <c r="C87" s="54"/>
      <c r="D87" s="55"/>
      <c r="E87" s="65" t="s">
        <v>1819</v>
      </c>
      <c r="G87" s="62"/>
      <c r="I87" s="2" t="s">
        <v>350</v>
      </c>
    </row>
    <row r="88" spans="2:12" ht="13.5" customHeight="1">
      <c r="B88" s="57" t="s">
        <v>640</v>
      </c>
      <c r="C88" s="58"/>
      <c r="D88" s="59"/>
      <c r="E88" s="66" t="s">
        <v>1820</v>
      </c>
      <c r="G88" s="62"/>
      <c r="J88" s="2" t="s">
        <v>1592</v>
      </c>
    </row>
    <row r="89" spans="2:12" ht="13.5" customHeight="1">
      <c r="B89" s="2" t="s">
        <v>2077</v>
      </c>
      <c r="E89" s="2" t="s">
        <v>2084</v>
      </c>
      <c r="G89" s="62"/>
      <c r="I89" s="2" t="s">
        <v>1593</v>
      </c>
    </row>
    <row r="90" spans="2:12" ht="13.5" customHeight="1">
      <c r="G90" s="62"/>
    </row>
    <row r="91" spans="2:12" ht="13.5" customHeight="1">
      <c r="B91" s="3"/>
      <c r="C91" s="4"/>
      <c r="D91" s="4"/>
      <c r="E91" s="7" t="s">
        <v>2076</v>
      </c>
      <c r="G91" s="62" t="s">
        <v>465</v>
      </c>
    </row>
    <row r="92" spans="2:12" ht="13.5" customHeight="1">
      <c r="B92" s="49" t="s">
        <v>461</v>
      </c>
      <c r="C92" s="50"/>
      <c r="D92" s="51"/>
      <c r="E92" s="63" t="s">
        <v>1821</v>
      </c>
      <c r="G92" s="62"/>
      <c r="H92" s="2" t="s">
        <v>351</v>
      </c>
    </row>
    <row r="93" spans="2:12" ht="13.5" customHeight="1">
      <c r="B93" s="53" t="s">
        <v>462</v>
      </c>
      <c r="C93" s="54"/>
      <c r="D93" s="55"/>
      <c r="E93" s="65" t="s">
        <v>1822</v>
      </c>
      <c r="G93" s="62"/>
      <c r="I93" s="2" t="s">
        <v>358</v>
      </c>
    </row>
    <row r="94" spans="2:12" ht="13.5" customHeight="1">
      <c r="B94" s="57" t="s">
        <v>639</v>
      </c>
      <c r="C94" s="58"/>
      <c r="D94" s="59"/>
      <c r="E94" s="66" t="s">
        <v>1823</v>
      </c>
      <c r="G94" s="62"/>
      <c r="H94" s="2" t="s">
        <v>359</v>
      </c>
    </row>
    <row r="95" spans="2:12" ht="13.5" customHeight="1">
      <c r="B95" s="2" t="s">
        <v>2077</v>
      </c>
      <c r="E95" s="2" t="s">
        <v>2085</v>
      </c>
      <c r="G95" s="62"/>
      <c r="H95" s="2" t="s">
        <v>360</v>
      </c>
    </row>
    <row r="96" spans="2:12" ht="13.5" customHeight="1">
      <c r="G96" s="62"/>
      <c r="I96" s="2" t="s">
        <v>1594</v>
      </c>
    </row>
    <row r="97" spans="1:14" ht="13.5" customHeight="1">
      <c r="G97" s="62"/>
      <c r="H97" s="2" t="s">
        <v>1595</v>
      </c>
    </row>
    <row r="98" spans="1:14" ht="13.5" customHeight="1">
      <c r="G98" s="62"/>
      <c r="L98" s="67"/>
      <c r="N98" s="67"/>
    </row>
    <row r="99" spans="1:14" ht="13.5" customHeight="1">
      <c r="G99" s="62" t="s">
        <v>347</v>
      </c>
    </row>
    <row r="100" spans="1:14" ht="13.5" customHeight="1">
      <c r="H100" s="2" t="s">
        <v>352</v>
      </c>
    </row>
    <row r="101" spans="1:14" ht="13.5" customHeight="1">
      <c r="I101" s="2" t="s">
        <v>353</v>
      </c>
    </row>
    <row r="103" spans="1:14" ht="13.5" customHeight="1">
      <c r="A103" s="1" t="s">
        <v>340</v>
      </c>
    </row>
    <row r="104" spans="1:14" ht="13.5" customHeight="1">
      <c r="B104" s="2" t="s">
        <v>2094</v>
      </c>
    </row>
    <row r="105" spans="1:14" ht="13.5" customHeight="1">
      <c r="E105" s="68" t="s">
        <v>341</v>
      </c>
      <c r="G105" s="2" t="s">
        <v>1596</v>
      </c>
    </row>
    <row r="106" spans="1:14" ht="13.5" customHeight="1">
      <c r="E106" s="61"/>
      <c r="G106" s="2" t="s">
        <v>1597</v>
      </c>
    </row>
    <row r="107" spans="1:14" ht="13.5" customHeight="1">
      <c r="E107" s="61"/>
      <c r="H107" s="2" t="s">
        <v>361</v>
      </c>
    </row>
    <row r="108" spans="1:14" ht="13.5" customHeight="1">
      <c r="E108" s="61"/>
      <c r="G108" s="2" t="s">
        <v>362</v>
      </c>
    </row>
    <row r="109" spans="1:14" ht="13.5" customHeight="1">
      <c r="E109" s="68" t="s">
        <v>342</v>
      </c>
      <c r="G109" s="2" t="s">
        <v>364</v>
      </c>
    </row>
    <row r="110" spans="1:14" ht="13.5" customHeight="1">
      <c r="C110" s="1"/>
      <c r="H110" s="2" t="s">
        <v>363</v>
      </c>
    </row>
    <row r="111" spans="1:14" ht="13.5" customHeight="1">
      <c r="C111" s="1"/>
      <c r="H111" s="2" t="s">
        <v>365</v>
      </c>
    </row>
    <row r="112" spans="1:14" ht="13.5" customHeight="1">
      <c r="C112" s="1"/>
      <c r="H112" s="2" t="s">
        <v>366</v>
      </c>
    </row>
    <row r="113" spans="1:15" ht="13.5" customHeight="1">
      <c r="H113" s="2" t="s">
        <v>367</v>
      </c>
    </row>
    <row r="114" spans="1:15" ht="13.5" customHeight="1">
      <c r="B114" s="2" t="s">
        <v>544</v>
      </c>
      <c r="G114" s="67"/>
      <c r="H114" s="67"/>
    </row>
    <row r="115" spans="1:15" ht="13.5" customHeight="1">
      <c r="C115" s="2" t="s">
        <v>343</v>
      </c>
    </row>
    <row r="116" spans="1:15" ht="13.5" customHeight="1">
      <c r="C116" s="2" t="s">
        <v>344</v>
      </c>
    </row>
    <row r="117" spans="1:15" ht="13.5" customHeight="1">
      <c r="D117" s="2" t="s">
        <v>1859</v>
      </c>
    </row>
    <row r="118" spans="1:15" ht="13.5" customHeight="1">
      <c r="C118" s="2" t="s">
        <v>345</v>
      </c>
    </row>
    <row r="119" spans="1:15" ht="13.5" customHeight="1">
      <c r="B119" s="2" t="s">
        <v>545</v>
      </c>
    </row>
    <row r="122" spans="1:15" ht="13.5" customHeight="1">
      <c r="A122" s="1" t="s">
        <v>368</v>
      </c>
    </row>
    <row r="123" spans="1:15" ht="13.5" customHeight="1">
      <c r="B123" s="69"/>
      <c r="C123" s="70"/>
      <c r="D123" s="70"/>
      <c r="E123" s="8" t="s">
        <v>369</v>
      </c>
      <c r="F123" s="71"/>
      <c r="G123" s="72"/>
      <c r="H123" s="73"/>
      <c r="I123" s="71"/>
      <c r="J123" s="4" t="s">
        <v>371</v>
      </c>
      <c r="K123" s="71"/>
      <c r="L123" s="71"/>
      <c r="M123" s="71"/>
      <c r="N123" s="71"/>
      <c r="O123" s="74"/>
    </row>
    <row r="124" spans="1:15" ht="13.5" customHeight="1">
      <c r="B124" s="49"/>
      <c r="C124" s="50"/>
      <c r="D124" s="51"/>
      <c r="E124" s="75"/>
      <c r="F124" s="75"/>
      <c r="G124" s="76"/>
      <c r="H124" s="77" t="s">
        <v>372</v>
      </c>
      <c r="I124" s="78"/>
      <c r="J124" s="78"/>
      <c r="K124" s="78"/>
      <c r="L124" s="78"/>
      <c r="M124" s="78"/>
      <c r="N124" s="78"/>
      <c r="O124" s="79"/>
    </row>
    <row r="125" spans="1:15" ht="13.5" customHeight="1">
      <c r="B125" s="53"/>
      <c r="C125" s="54"/>
      <c r="D125" s="55"/>
      <c r="E125" s="80"/>
      <c r="F125" s="81" t="s">
        <v>399</v>
      </c>
      <c r="G125" s="76"/>
      <c r="H125" s="82" t="s">
        <v>373</v>
      </c>
      <c r="I125" s="75"/>
      <c r="J125" s="75"/>
      <c r="K125" s="75"/>
      <c r="L125" s="75"/>
      <c r="M125" s="75"/>
      <c r="N125" s="75"/>
      <c r="O125" s="76"/>
    </row>
    <row r="126" spans="1:15" ht="13.5" customHeight="1">
      <c r="B126" s="53"/>
      <c r="C126" s="54"/>
      <c r="D126" s="55"/>
      <c r="E126" s="75"/>
      <c r="F126" s="83"/>
      <c r="G126" s="76"/>
      <c r="H126" s="82" t="s">
        <v>374</v>
      </c>
      <c r="I126" s="75"/>
      <c r="J126" s="75"/>
      <c r="K126" s="75"/>
      <c r="L126" s="75"/>
      <c r="M126" s="75"/>
      <c r="N126" s="75"/>
      <c r="O126" s="76"/>
    </row>
    <row r="127" spans="1:15" ht="13.5" customHeight="1">
      <c r="B127" s="53"/>
      <c r="C127" s="84" t="s">
        <v>274</v>
      </c>
      <c r="D127" s="55"/>
      <c r="E127" s="85"/>
      <c r="F127" s="86"/>
      <c r="G127" s="87"/>
      <c r="H127" s="88" t="s">
        <v>375</v>
      </c>
      <c r="I127" s="85"/>
      <c r="J127" s="85"/>
      <c r="K127" s="85"/>
      <c r="L127" s="85"/>
      <c r="M127" s="85"/>
      <c r="N127" s="85"/>
      <c r="O127" s="87"/>
    </row>
    <row r="128" spans="1:15" ht="13.5" customHeight="1">
      <c r="B128" s="53"/>
      <c r="C128" s="54"/>
      <c r="D128" s="55"/>
      <c r="E128" s="78"/>
      <c r="F128" s="89"/>
      <c r="G128" s="79"/>
      <c r="H128" s="77" t="s">
        <v>376</v>
      </c>
      <c r="I128" s="78"/>
      <c r="J128" s="78"/>
      <c r="K128" s="78"/>
      <c r="L128" s="78"/>
      <c r="M128" s="78"/>
      <c r="N128" s="78"/>
      <c r="O128" s="79"/>
    </row>
    <row r="129" spans="2:15" ht="13.5" customHeight="1">
      <c r="B129" s="53"/>
      <c r="C129" s="54"/>
      <c r="D129" s="55"/>
      <c r="E129" s="80"/>
      <c r="F129" s="81" t="s">
        <v>400</v>
      </c>
      <c r="G129" s="76"/>
      <c r="H129" s="82" t="s">
        <v>377</v>
      </c>
      <c r="I129" s="75"/>
      <c r="J129" s="75"/>
      <c r="K129" s="75"/>
      <c r="L129" s="75"/>
      <c r="M129" s="75"/>
      <c r="N129" s="75"/>
      <c r="O129" s="76"/>
    </row>
    <row r="130" spans="2:15" ht="13.5" customHeight="1">
      <c r="B130" s="53"/>
      <c r="C130" s="54"/>
      <c r="D130" s="55"/>
      <c r="E130" s="75"/>
      <c r="F130" s="83"/>
      <c r="G130" s="76"/>
      <c r="H130" s="82" t="s">
        <v>378</v>
      </c>
      <c r="I130" s="75"/>
      <c r="J130" s="75"/>
      <c r="K130" s="75"/>
      <c r="L130" s="75"/>
      <c r="M130" s="75"/>
      <c r="N130" s="75"/>
      <c r="O130" s="76"/>
    </row>
    <row r="131" spans="2:15" ht="13.5" customHeight="1">
      <c r="B131" s="57"/>
      <c r="C131" s="58"/>
      <c r="D131" s="59"/>
      <c r="E131" s="85"/>
      <c r="F131" s="86"/>
      <c r="G131" s="87"/>
      <c r="H131" s="88" t="s">
        <v>379</v>
      </c>
      <c r="I131" s="85"/>
      <c r="J131" s="85"/>
      <c r="K131" s="85"/>
      <c r="L131" s="85"/>
      <c r="M131" s="85"/>
      <c r="N131" s="85"/>
      <c r="O131" s="87"/>
    </row>
    <row r="132" spans="2:15" ht="13.5" customHeight="1">
      <c r="B132" s="49"/>
      <c r="C132" s="50"/>
      <c r="D132" s="51"/>
      <c r="E132" s="78"/>
      <c r="F132" s="89"/>
      <c r="G132" s="79"/>
      <c r="H132" s="77" t="s">
        <v>380</v>
      </c>
      <c r="I132" s="78"/>
      <c r="J132" s="78"/>
      <c r="K132" s="78"/>
      <c r="L132" s="78"/>
      <c r="M132" s="78"/>
      <c r="N132" s="78"/>
      <c r="O132" s="79"/>
    </row>
    <row r="133" spans="2:15" ht="13.5" customHeight="1">
      <c r="B133" s="53"/>
      <c r="C133" s="54"/>
      <c r="D133" s="55"/>
      <c r="E133" s="75"/>
      <c r="F133" s="83"/>
      <c r="G133" s="76"/>
      <c r="H133" s="82" t="s">
        <v>381</v>
      </c>
      <c r="I133" s="75"/>
      <c r="J133" s="75"/>
      <c r="K133" s="75"/>
      <c r="L133" s="75"/>
      <c r="M133" s="75"/>
      <c r="N133" s="75"/>
      <c r="O133" s="76"/>
    </row>
    <row r="134" spans="2:15" ht="13.5" customHeight="1">
      <c r="B134" s="53"/>
      <c r="C134" s="54"/>
      <c r="D134" s="55"/>
      <c r="E134" s="90"/>
      <c r="F134" s="81" t="s">
        <v>401</v>
      </c>
      <c r="G134" s="91"/>
      <c r="H134" s="82" t="s">
        <v>382</v>
      </c>
      <c r="I134" s="75"/>
      <c r="J134" s="75"/>
      <c r="K134" s="75"/>
      <c r="L134" s="75"/>
      <c r="M134" s="75"/>
      <c r="N134" s="75"/>
      <c r="O134" s="76"/>
    </row>
    <row r="135" spans="2:15" ht="13.5" customHeight="1">
      <c r="B135" s="53"/>
      <c r="C135" s="54"/>
      <c r="D135" s="55"/>
      <c r="E135" s="90"/>
      <c r="F135" s="81" t="s">
        <v>402</v>
      </c>
      <c r="G135" s="91"/>
      <c r="H135" s="82" t="s">
        <v>383</v>
      </c>
      <c r="I135" s="75"/>
      <c r="J135" s="75"/>
      <c r="K135" s="75"/>
      <c r="L135" s="75"/>
      <c r="M135" s="75"/>
      <c r="N135" s="75"/>
      <c r="O135" s="76"/>
    </row>
    <row r="136" spans="2:15" ht="13.5" customHeight="1">
      <c r="B136" s="53"/>
      <c r="C136" s="54"/>
      <c r="D136" s="55"/>
      <c r="E136" s="75"/>
      <c r="F136" s="83"/>
      <c r="G136" s="92"/>
      <c r="H136" s="82" t="s">
        <v>384</v>
      </c>
      <c r="I136" s="75"/>
      <c r="J136" s="75"/>
      <c r="K136" s="75"/>
      <c r="L136" s="75"/>
      <c r="M136" s="75"/>
      <c r="N136" s="75"/>
      <c r="O136" s="76"/>
    </row>
    <row r="137" spans="2:15" ht="13.5" customHeight="1">
      <c r="B137" s="53"/>
      <c r="C137" s="54"/>
      <c r="D137" s="55"/>
      <c r="E137" s="85"/>
      <c r="F137" s="86"/>
      <c r="G137" s="87"/>
      <c r="H137" s="88" t="s">
        <v>385</v>
      </c>
      <c r="I137" s="85"/>
      <c r="J137" s="85"/>
      <c r="K137" s="85"/>
      <c r="L137" s="85"/>
      <c r="M137" s="85"/>
      <c r="N137" s="85"/>
      <c r="O137" s="87"/>
    </row>
    <row r="138" spans="2:15" ht="13.5" customHeight="1">
      <c r="B138" s="53"/>
      <c r="C138" s="54"/>
      <c r="D138" s="55"/>
      <c r="E138" s="78"/>
      <c r="F138" s="89"/>
      <c r="G138" s="79"/>
      <c r="H138" s="77" t="s">
        <v>386</v>
      </c>
      <c r="I138" s="78"/>
      <c r="J138" s="78"/>
      <c r="K138" s="78"/>
      <c r="L138" s="78"/>
      <c r="M138" s="78"/>
      <c r="N138" s="78"/>
      <c r="O138" s="79"/>
    </row>
    <row r="139" spans="2:15" ht="13.5" customHeight="1">
      <c r="B139" s="53"/>
      <c r="C139" s="54"/>
      <c r="D139" s="55"/>
      <c r="E139" s="80"/>
      <c r="F139" s="81" t="s">
        <v>400</v>
      </c>
      <c r="G139" s="76"/>
      <c r="H139" s="82" t="s">
        <v>387</v>
      </c>
      <c r="I139" s="75"/>
      <c r="J139" s="75"/>
      <c r="K139" s="75"/>
      <c r="L139" s="75"/>
      <c r="M139" s="75"/>
      <c r="N139" s="75"/>
      <c r="O139" s="76"/>
    </row>
    <row r="140" spans="2:15" ht="13.5" customHeight="1">
      <c r="B140" s="53"/>
      <c r="C140" s="84" t="s">
        <v>429</v>
      </c>
      <c r="D140" s="55"/>
      <c r="E140" s="80"/>
      <c r="F140" s="81" t="s">
        <v>402</v>
      </c>
      <c r="G140" s="76"/>
      <c r="H140" s="82" t="s">
        <v>388</v>
      </c>
      <c r="I140" s="75"/>
      <c r="J140" s="75"/>
      <c r="K140" s="75"/>
      <c r="L140" s="75"/>
      <c r="M140" s="75"/>
      <c r="N140" s="75"/>
      <c r="O140" s="76"/>
    </row>
    <row r="141" spans="2:15" ht="13.5" customHeight="1">
      <c r="B141" s="53"/>
      <c r="C141" s="84" t="s">
        <v>430</v>
      </c>
      <c r="D141" s="55"/>
      <c r="E141" s="75"/>
      <c r="F141" s="83"/>
      <c r="G141" s="76"/>
      <c r="H141" s="82" t="s">
        <v>389</v>
      </c>
      <c r="I141" s="75"/>
      <c r="J141" s="75"/>
      <c r="K141" s="75"/>
      <c r="L141" s="75"/>
      <c r="M141" s="75"/>
      <c r="N141" s="75"/>
      <c r="O141" s="76"/>
    </row>
    <row r="142" spans="2:15" ht="13.5" customHeight="1">
      <c r="B142" s="53"/>
      <c r="C142" s="54"/>
      <c r="D142" s="55"/>
      <c r="E142" s="85"/>
      <c r="F142" s="86"/>
      <c r="G142" s="87"/>
      <c r="H142" s="88" t="s">
        <v>390</v>
      </c>
      <c r="I142" s="85"/>
      <c r="J142" s="85"/>
      <c r="K142" s="85"/>
      <c r="L142" s="85"/>
      <c r="M142" s="85"/>
      <c r="N142" s="85"/>
      <c r="O142" s="87"/>
    </row>
    <row r="143" spans="2:15" ht="13.5" customHeight="1">
      <c r="B143" s="53"/>
      <c r="C143" s="54"/>
      <c r="D143" s="55"/>
      <c r="E143" s="78"/>
      <c r="F143" s="89"/>
      <c r="G143" s="79"/>
      <c r="H143" s="77" t="s">
        <v>391</v>
      </c>
      <c r="I143" s="78"/>
      <c r="J143" s="78"/>
      <c r="K143" s="78"/>
      <c r="L143" s="78"/>
      <c r="M143" s="78"/>
      <c r="N143" s="78"/>
      <c r="O143" s="79"/>
    </row>
    <row r="144" spans="2:15" ht="13.5" customHeight="1">
      <c r="B144" s="53"/>
      <c r="C144" s="54"/>
      <c r="D144" s="55"/>
      <c r="E144" s="75"/>
      <c r="F144" s="83"/>
      <c r="G144" s="76"/>
      <c r="H144" s="82" t="s">
        <v>392</v>
      </c>
      <c r="I144" s="75"/>
      <c r="J144" s="75"/>
      <c r="K144" s="75"/>
      <c r="L144" s="75"/>
      <c r="M144" s="75"/>
      <c r="N144" s="75"/>
      <c r="O144" s="76"/>
    </row>
    <row r="145" spans="1:15" ht="13.5" customHeight="1">
      <c r="B145" s="53"/>
      <c r="C145" s="54"/>
      <c r="D145" s="55"/>
      <c r="E145" s="75"/>
      <c r="F145" s="83"/>
      <c r="G145" s="76"/>
      <c r="H145" s="82" t="s">
        <v>393</v>
      </c>
      <c r="I145" s="75"/>
      <c r="J145" s="75"/>
      <c r="K145" s="75"/>
      <c r="L145" s="75"/>
      <c r="M145" s="75"/>
      <c r="N145" s="75"/>
      <c r="O145" s="76"/>
    </row>
    <row r="146" spans="1:15" ht="13.5" customHeight="1">
      <c r="B146" s="53"/>
      <c r="C146" s="54"/>
      <c r="D146" s="55"/>
      <c r="E146" s="80"/>
      <c r="F146" s="81" t="s">
        <v>403</v>
      </c>
      <c r="G146" s="76"/>
      <c r="H146" s="82" t="s">
        <v>394</v>
      </c>
      <c r="I146" s="75"/>
      <c r="J146" s="75"/>
      <c r="K146" s="75"/>
      <c r="L146" s="75"/>
      <c r="M146" s="75"/>
      <c r="N146" s="75"/>
      <c r="O146" s="76"/>
    </row>
    <row r="147" spans="1:15" ht="13.5" customHeight="1">
      <c r="B147" s="53"/>
      <c r="C147" s="54"/>
      <c r="D147" s="55"/>
      <c r="E147" s="75"/>
      <c r="F147" s="83"/>
      <c r="G147" s="76"/>
      <c r="H147" s="82" t="s">
        <v>395</v>
      </c>
      <c r="I147" s="75"/>
      <c r="J147" s="75"/>
      <c r="K147" s="75"/>
      <c r="L147" s="75"/>
      <c r="M147" s="75"/>
      <c r="N147" s="75"/>
      <c r="O147" s="76"/>
    </row>
    <row r="148" spans="1:15" ht="13.5" customHeight="1">
      <c r="B148" s="53"/>
      <c r="C148" s="54"/>
      <c r="D148" s="55"/>
      <c r="E148" s="75"/>
      <c r="F148" s="83"/>
      <c r="G148" s="76"/>
      <c r="H148" s="82" t="s">
        <v>396</v>
      </c>
      <c r="I148" s="75"/>
      <c r="J148" s="75"/>
      <c r="K148" s="75"/>
      <c r="L148" s="75"/>
      <c r="M148" s="75"/>
      <c r="N148" s="75"/>
      <c r="O148" s="76"/>
    </row>
    <row r="149" spans="1:15" ht="13.5" customHeight="1">
      <c r="B149" s="53"/>
      <c r="C149" s="54"/>
      <c r="D149" s="55"/>
      <c r="E149" s="85"/>
      <c r="F149" s="86"/>
      <c r="G149" s="87"/>
      <c r="H149" s="88" t="s">
        <v>397</v>
      </c>
      <c r="I149" s="85"/>
      <c r="J149" s="85"/>
      <c r="K149" s="85"/>
      <c r="L149" s="85"/>
      <c r="M149" s="85"/>
      <c r="N149" s="85"/>
      <c r="O149" s="87"/>
    </row>
    <row r="150" spans="1:15" ht="13.5" customHeight="1">
      <c r="B150" s="57"/>
      <c r="C150" s="58"/>
      <c r="D150" s="59"/>
      <c r="E150" s="93"/>
      <c r="F150" s="94" t="s">
        <v>404</v>
      </c>
      <c r="G150" s="95"/>
      <c r="H150" s="96" t="s">
        <v>398</v>
      </c>
      <c r="I150" s="97"/>
      <c r="J150" s="97"/>
      <c r="K150" s="97"/>
      <c r="L150" s="97"/>
      <c r="M150" s="97"/>
      <c r="N150" s="97"/>
      <c r="O150" s="95"/>
    </row>
    <row r="151" spans="1:15" ht="13.5" customHeight="1">
      <c r="B151" s="2" t="s">
        <v>1693</v>
      </c>
    </row>
    <row r="152" spans="1:15" ht="13.5" customHeight="1">
      <c r="C152" s="45" t="s">
        <v>1525</v>
      </c>
    </row>
    <row r="153" spans="1:15" ht="13.5" customHeight="1">
      <c r="C153" s="48"/>
    </row>
    <row r="154" spans="1:15" ht="13.5" customHeight="1">
      <c r="A154" s="1" t="s">
        <v>406</v>
      </c>
    </row>
    <row r="155" spans="1:15" ht="13.5" customHeight="1">
      <c r="B155" s="1" t="s">
        <v>442</v>
      </c>
    </row>
    <row r="156" spans="1:15" ht="13.5" customHeight="1">
      <c r="C156" s="2" t="s">
        <v>522</v>
      </c>
    </row>
    <row r="157" spans="1:15" ht="13.5" customHeight="1">
      <c r="B157" s="1" t="s">
        <v>441</v>
      </c>
    </row>
    <row r="158" spans="1:15" ht="13.5" customHeight="1">
      <c r="C158" s="2" t="s">
        <v>1600</v>
      </c>
    </row>
    <row r="159" spans="1:15" ht="13.5" customHeight="1">
      <c r="B159" s="98"/>
      <c r="C159" s="2" t="s">
        <v>1601</v>
      </c>
    </row>
    <row r="160" spans="1:15" ht="13.5" customHeight="1">
      <c r="B160" s="98"/>
      <c r="C160" s="2" t="s">
        <v>1825</v>
      </c>
    </row>
    <row r="161" spans="1:19" ht="13.5" customHeight="1">
      <c r="B161" s="2" t="s">
        <v>440</v>
      </c>
    </row>
    <row r="162" spans="1:19" ht="13.5" customHeight="1">
      <c r="C162" s="2" t="s">
        <v>415</v>
      </c>
    </row>
    <row r="163" spans="1:19" ht="13.5" customHeight="1">
      <c r="C163" s="1" t="s">
        <v>538</v>
      </c>
    </row>
    <row r="164" spans="1:19" ht="13.5" customHeight="1">
      <c r="B164" s="2" t="s">
        <v>439</v>
      </c>
    </row>
    <row r="165" spans="1:19" ht="13.5" customHeight="1">
      <c r="C165" s="2" t="s">
        <v>660</v>
      </c>
    </row>
    <row r="166" spans="1:19" ht="13.5" customHeight="1">
      <c r="B166" s="2" t="s">
        <v>1857</v>
      </c>
    </row>
    <row r="167" spans="1:19" ht="13.5" customHeight="1">
      <c r="C167" s="2" t="s">
        <v>645</v>
      </c>
    </row>
    <row r="168" spans="1:19" ht="13.5" customHeight="1">
      <c r="B168" s="2" t="s">
        <v>1858</v>
      </c>
    </row>
    <row r="169" spans="1:19" ht="13.5" customHeight="1">
      <c r="C169" s="2" t="s">
        <v>1860</v>
      </c>
    </row>
    <row r="170" spans="1:19" ht="13.5" customHeight="1">
      <c r="B170" s="2" t="s">
        <v>523</v>
      </c>
    </row>
    <row r="172" spans="1:19" ht="13.5" customHeight="1">
      <c r="A172" s="1" t="s">
        <v>1791</v>
      </c>
    </row>
    <row r="173" spans="1:19" ht="13.5" customHeight="1">
      <c r="B173" s="2" t="s">
        <v>1792</v>
      </c>
    </row>
    <row r="174" spans="1:19" ht="13.5" customHeight="1">
      <c r="B174" s="2" t="s">
        <v>1793</v>
      </c>
    </row>
    <row r="175" spans="1:19" ht="13.5" customHeight="1">
      <c r="B175" s="2" t="s">
        <v>1794</v>
      </c>
    </row>
    <row r="176" spans="1:19" ht="13.5" customHeight="1">
      <c r="C176" s="2" t="s">
        <v>1796</v>
      </c>
      <c r="R176" s="2" t="s">
        <v>1637</v>
      </c>
      <c r="S176" s="99" t="s">
        <v>1797</v>
      </c>
    </row>
    <row r="177" spans="2:19" ht="13.5" customHeight="1">
      <c r="D177" s="2" t="s">
        <v>1795</v>
      </c>
      <c r="S177" s="48"/>
    </row>
    <row r="178" spans="2:19" ht="13.5" customHeight="1">
      <c r="B178" s="2" t="s">
        <v>1841</v>
      </c>
    </row>
    <row r="179" spans="2:19" ht="13.5" customHeight="1">
      <c r="B179" s="2" t="s">
        <v>1798</v>
      </c>
    </row>
    <row r="180" spans="2:19" ht="13.5" customHeight="1">
      <c r="C180" s="2" t="s">
        <v>1799</v>
      </c>
    </row>
    <row r="181" spans="2:19" ht="13.5" customHeight="1">
      <c r="D181" s="2" t="s">
        <v>1878</v>
      </c>
    </row>
    <row r="182" spans="2:19" ht="13.5" customHeight="1">
      <c r="D182" s="2" t="s">
        <v>1800</v>
      </c>
    </row>
    <row r="183" spans="2:19" ht="13.5" customHeight="1">
      <c r="D183" s="2" t="s">
        <v>1801</v>
      </c>
    </row>
    <row r="184" spans="2:19" ht="13.5" customHeight="1">
      <c r="D184" s="2" t="s">
        <v>1802</v>
      </c>
    </row>
    <row r="185" spans="2:19" ht="13.5" customHeight="1">
      <c r="E185" s="2" t="s">
        <v>1803</v>
      </c>
    </row>
    <row r="186" spans="2:19" ht="13.5" customHeight="1">
      <c r="B186" s="2" t="s">
        <v>1804</v>
      </c>
    </row>
    <row r="187" spans="2:19" ht="13.5" customHeight="1">
      <c r="B187" s="2" t="s">
        <v>1805</v>
      </c>
    </row>
    <row r="188" spans="2:19" ht="13.5" customHeight="1">
      <c r="C188" s="2" t="s">
        <v>1829</v>
      </c>
    </row>
    <row r="189" spans="2:19" ht="13.5" customHeight="1">
      <c r="C189" s="2" t="s">
        <v>1806</v>
      </c>
    </row>
    <row r="190" spans="2:19" ht="13.5" customHeight="1">
      <c r="C190" s="2" t="s">
        <v>1807</v>
      </c>
    </row>
    <row r="191" spans="2:19" ht="13.5" customHeight="1">
      <c r="D191" s="2" t="s">
        <v>1808</v>
      </c>
    </row>
    <row r="192" spans="2:19" ht="13.5" customHeight="1">
      <c r="B192" s="1" t="s">
        <v>1879</v>
      </c>
    </row>
    <row r="193" spans="1:4" ht="13.5" customHeight="1">
      <c r="C193" s="2" t="s">
        <v>1880</v>
      </c>
    </row>
    <row r="194" spans="1:4" ht="13.5" customHeight="1">
      <c r="C194" s="2" t="s">
        <v>1809</v>
      </c>
    </row>
    <row r="195" spans="1:4" ht="13.5" customHeight="1">
      <c r="C195" s="2" t="s">
        <v>1810</v>
      </c>
    </row>
    <row r="196" spans="1:4" ht="13.5" customHeight="1">
      <c r="D196" s="2" t="s">
        <v>1811</v>
      </c>
    </row>
    <row r="198" spans="1:4" ht="13.5" customHeight="1">
      <c r="A198" s="1" t="s">
        <v>1844</v>
      </c>
    </row>
    <row r="199" spans="1:4" ht="13.5" customHeight="1">
      <c r="B199" s="2" t="s">
        <v>1830</v>
      </c>
    </row>
    <row r="200" spans="1:4" ht="13.5" customHeight="1">
      <c r="C200" s="2" t="s">
        <v>2000</v>
      </c>
    </row>
    <row r="201" spans="1:4" ht="13.5" customHeight="1">
      <c r="D201" s="2" t="s">
        <v>2001</v>
      </c>
    </row>
    <row r="202" spans="1:4" ht="13.5" customHeight="1">
      <c r="C202" s="1" t="s">
        <v>1845</v>
      </c>
    </row>
    <row r="204" spans="1:4" ht="13.5" customHeight="1">
      <c r="A204" s="1" t="s">
        <v>1846</v>
      </c>
    </row>
    <row r="205" spans="1:4" ht="13.5" customHeight="1">
      <c r="B205" s="2" t="s">
        <v>1833</v>
      </c>
    </row>
    <row r="206" spans="1:4" ht="13.5" customHeight="1">
      <c r="C206" s="2" t="s">
        <v>1834</v>
      </c>
    </row>
    <row r="208" spans="1:4" ht="13.5" customHeight="1">
      <c r="A208" s="1" t="s">
        <v>1853</v>
      </c>
      <c r="C208" s="48"/>
    </row>
    <row r="209" spans="1:27" ht="13.5" customHeight="1">
      <c r="B209" s="2" t="s">
        <v>546</v>
      </c>
    </row>
    <row r="210" spans="1:27" ht="13.5" customHeight="1">
      <c r="C210" s="2" t="s">
        <v>515</v>
      </c>
    </row>
    <row r="211" spans="1:27" ht="13.5" customHeight="1">
      <c r="B211" s="2" t="s">
        <v>508</v>
      </c>
    </row>
    <row r="212" spans="1:27" ht="13.5" customHeight="1">
      <c r="C212" s="2" t="s">
        <v>516</v>
      </c>
    </row>
    <row r="213" spans="1:27" ht="13.5" customHeight="1">
      <c r="C213" s="1" t="s">
        <v>488</v>
      </c>
    </row>
    <row r="214" spans="1:27" ht="13.5" customHeight="1">
      <c r="B214" s="2" t="s">
        <v>1832</v>
      </c>
    </row>
    <row r="215" spans="1:27" ht="13.5" customHeight="1">
      <c r="B215" s="2" t="s">
        <v>1847</v>
      </c>
    </row>
    <row r="217" spans="1:27" ht="13.5" customHeight="1">
      <c r="A217" s="1" t="s">
        <v>1848</v>
      </c>
    </row>
    <row r="218" spans="1:27" ht="13.5" customHeight="1">
      <c r="B218" s="2" t="s">
        <v>1849</v>
      </c>
    </row>
    <row r="219" spans="1:27" ht="13.5" customHeight="1">
      <c r="C219" s="2" t="s">
        <v>1835</v>
      </c>
    </row>
    <row r="220" spans="1:27" ht="13.5" customHeight="1">
      <c r="C220" s="2" t="s">
        <v>1850</v>
      </c>
    </row>
    <row r="221" spans="1:27" ht="13.5" customHeight="1">
      <c r="C221" s="2" t="s">
        <v>1836</v>
      </c>
    </row>
    <row r="222" spans="1:27" ht="13.5" customHeight="1">
      <c r="D222" s="2" t="s">
        <v>1837</v>
      </c>
    </row>
    <row r="223" spans="1:27" ht="13.5" customHeight="1">
      <c r="X223" s="100" t="s">
        <v>1779</v>
      </c>
      <c r="Y223" s="101"/>
      <c r="Z223" s="100" t="s">
        <v>1861</v>
      </c>
      <c r="AA223" s="101"/>
    </row>
    <row r="224" spans="1:27" ht="13.5" customHeight="1">
      <c r="A224" s="1" t="s">
        <v>1824</v>
      </c>
      <c r="X224" s="49" t="s">
        <v>1765</v>
      </c>
      <c r="Y224" s="102"/>
      <c r="Z224" s="103" t="s">
        <v>1771</v>
      </c>
      <c r="AA224" s="79" t="s">
        <v>1772</v>
      </c>
    </row>
    <row r="225" spans="2:28" ht="13.5" customHeight="1">
      <c r="B225" s="1" t="s">
        <v>509</v>
      </c>
      <c r="X225" s="53" t="s">
        <v>1766</v>
      </c>
      <c r="Y225" s="104"/>
      <c r="Z225" s="105" t="s">
        <v>1773</v>
      </c>
      <c r="AA225" s="76" t="s">
        <v>1772</v>
      </c>
      <c r="AB225" s="2" t="s">
        <v>1774</v>
      </c>
    </row>
    <row r="226" spans="2:28" ht="13.5" customHeight="1">
      <c r="B226" s="1"/>
      <c r="C226" s="2" t="s">
        <v>1749</v>
      </c>
      <c r="X226" s="53" t="s">
        <v>1767</v>
      </c>
      <c r="Y226" s="104"/>
      <c r="Z226" s="105" t="s">
        <v>1775</v>
      </c>
      <c r="AA226" s="76" t="s">
        <v>1772</v>
      </c>
      <c r="AB226" s="1" t="s">
        <v>1756</v>
      </c>
    </row>
    <row r="227" spans="2:28" ht="13.5" customHeight="1">
      <c r="B227" s="2" t="s">
        <v>1763</v>
      </c>
      <c r="X227" s="53" t="s">
        <v>1768</v>
      </c>
      <c r="Y227" s="104"/>
      <c r="Z227" s="105" t="s">
        <v>1776</v>
      </c>
      <c r="AA227" s="76" t="s">
        <v>1772</v>
      </c>
    </row>
    <row r="228" spans="2:28" ht="13.5" customHeight="1">
      <c r="B228" s="1"/>
      <c r="C228" s="2" t="s">
        <v>1750</v>
      </c>
      <c r="X228" s="53" t="s">
        <v>1769</v>
      </c>
      <c r="Y228" s="104"/>
      <c r="Z228" s="105" t="s">
        <v>1777</v>
      </c>
      <c r="AA228" s="76" t="s">
        <v>1772</v>
      </c>
    </row>
    <row r="229" spans="2:28" ht="13.5" customHeight="1">
      <c r="B229" s="2" t="s">
        <v>1762</v>
      </c>
      <c r="X229" s="57"/>
      <c r="Y229" s="106" t="s">
        <v>1770</v>
      </c>
      <c r="Z229" s="107" t="s">
        <v>1778</v>
      </c>
      <c r="AA229" s="95" t="s">
        <v>1772</v>
      </c>
      <c r="AB229" s="46" t="s">
        <v>1883</v>
      </c>
    </row>
    <row r="230" spans="2:28" ht="13.5" customHeight="1">
      <c r="B230" s="1"/>
      <c r="C230" s="2" t="s">
        <v>1751</v>
      </c>
    </row>
    <row r="231" spans="2:28" ht="13.5" customHeight="1">
      <c r="B231" s="1"/>
      <c r="C231" s="2" t="s">
        <v>1752</v>
      </c>
    </row>
    <row r="232" spans="2:28" ht="13.5" customHeight="1">
      <c r="B232" s="2" t="s">
        <v>1761</v>
      </c>
    </row>
    <row r="233" spans="2:28" ht="13.5" customHeight="1">
      <c r="B233" s="1"/>
      <c r="C233" s="2" t="s">
        <v>1753</v>
      </c>
    </row>
    <row r="234" spans="2:28" ht="13.5" customHeight="1">
      <c r="B234" s="1"/>
      <c r="C234" s="2" t="s">
        <v>1754</v>
      </c>
    </row>
    <row r="235" spans="2:28" ht="13.5" customHeight="1">
      <c r="B235" s="2" t="s">
        <v>1755</v>
      </c>
    </row>
    <row r="236" spans="2:28" ht="13.5" customHeight="1">
      <c r="B236" s="1"/>
      <c r="C236" s="2" t="s">
        <v>1758</v>
      </c>
    </row>
    <row r="237" spans="2:28" ht="13.5" customHeight="1">
      <c r="B237" s="1"/>
      <c r="C237" s="2" t="s">
        <v>1759</v>
      </c>
    </row>
    <row r="238" spans="2:28" ht="13.5" customHeight="1">
      <c r="B238" s="1"/>
      <c r="C238" s="2" t="s">
        <v>1760</v>
      </c>
    </row>
    <row r="239" spans="2:28" ht="13.5" customHeight="1">
      <c r="B239" s="1"/>
      <c r="C239" s="2" t="s">
        <v>2096</v>
      </c>
    </row>
    <row r="240" spans="2:28" ht="13.5" customHeight="1">
      <c r="B240" s="2" t="s">
        <v>2097</v>
      </c>
    </row>
    <row r="241" spans="1:3" ht="13.5" customHeight="1">
      <c r="B241" s="1"/>
      <c r="C241" s="2" t="s">
        <v>1757</v>
      </c>
    </row>
    <row r="242" spans="1:3" ht="13.5" customHeight="1">
      <c r="B242" s="1"/>
      <c r="C242" s="2" t="s">
        <v>1764</v>
      </c>
    </row>
    <row r="243" spans="1:3" ht="13.5" customHeight="1">
      <c r="B243" s="2" t="s">
        <v>2095</v>
      </c>
    </row>
    <row r="245" spans="1:3" ht="13.5" customHeight="1">
      <c r="A245" s="1" t="s">
        <v>405</v>
      </c>
      <c r="B245" s="1"/>
    </row>
    <row r="246" spans="1:3" ht="13.5" customHeight="1">
      <c r="B246" s="2" t="s">
        <v>517</v>
      </c>
    </row>
    <row r="247" spans="1:3" ht="13.5" customHeight="1">
      <c r="C247" s="2" t="s">
        <v>518</v>
      </c>
    </row>
    <row r="248" spans="1:3" ht="13.5" customHeight="1">
      <c r="C248" s="2" t="s">
        <v>519</v>
      </c>
    </row>
    <row r="249" spans="1:3" ht="13.5" customHeight="1">
      <c r="C249" s="2" t="s">
        <v>520</v>
      </c>
    </row>
    <row r="250" spans="1:3" ht="13.5" customHeight="1">
      <c r="C250" s="2" t="s">
        <v>521</v>
      </c>
    </row>
    <row r="251" spans="1:3" ht="13.5" customHeight="1">
      <c r="B251" s="1" t="s">
        <v>1599</v>
      </c>
    </row>
    <row r="253" spans="1:3" ht="13.5" customHeight="1">
      <c r="A253" s="1" t="s">
        <v>458</v>
      </c>
    </row>
    <row r="254" spans="1:3" ht="13.5" customHeight="1">
      <c r="B254" s="2" t="s">
        <v>599</v>
      </c>
    </row>
    <row r="255" spans="1:3" ht="13.5" customHeight="1">
      <c r="C255" s="2" t="s">
        <v>1856</v>
      </c>
    </row>
    <row r="256" spans="1:3" ht="13.5" customHeight="1">
      <c r="C256" s="2" t="s">
        <v>600</v>
      </c>
    </row>
    <row r="257" spans="1:29" ht="13.5" customHeight="1">
      <c r="C257" s="2" t="s">
        <v>601</v>
      </c>
    </row>
    <row r="258" spans="1:29" ht="13.5" customHeight="1">
      <c r="B258" s="2" t="s">
        <v>602</v>
      </c>
    </row>
    <row r="259" spans="1:29" ht="13.5" customHeight="1">
      <c r="B259" s="2" t="s">
        <v>1871</v>
      </c>
    </row>
    <row r="260" spans="1:29" ht="13.5" customHeight="1">
      <c r="C260" s="1" t="s">
        <v>527</v>
      </c>
      <c r="F260" s="45" t="s">
        <v>528</v>
      </c>
    </row>
    <row r="261" spans="1:29" ht="13.5" customHeight="1">
      <c r="C261" s="1" t="s">
        <v>529</v>
      </c>
      <c r="F261" s="45" t="s">
        <v>1525</v>
      </c>
      <c r="Q261" s="3" t="s">
        <v>607</v>
      </c>
      <c r="R261" s="71"/>
      <c r="S261" s="71"/>
      <c r="T261" s="71"/>
      <c r="U261" s="71"/>
      <c r="V261" s="71"/>
      <c r="X261" s="3" t="s">
        <v>608</v>
      </c>
      <c r="Y261" s="71"/>
      <c r="Z261" s="71"/>
      <c r="AA261" s="71"/>
      <c r="AB261" s="71"/>
      <c r="AC261" s="71"/>
    </row>
    <row r="262" spans="1:29" ht="13.5" customHeight="1">
      <c r="B262" s="1" t="s">
        <v>1694</v>
      </c>
      <c r="Q262" s="49" t="s">
        <v>603</v>
      </c>
      <c r="R262" s="108"/>
      <c r="S262" s="49" t="s">
        <v>605</v>
      </c>
      <c r="T262" s="108"/>
      <c r="U262" s="49" t="s">
        <v>604</v>
      </c>
      <c r="V262" s="108"/>
      <c r="X262" s="49" t="s">
        <v>603</v>
      </c>
      <c r="Y262" s="108"/>
      <c r="Z262" s="49" t="s">
        <v>605</v>
      </c>
      <c r="AA262" s="108"/>
      <c r="AB262" s="49" t="s">
        <v>609</v>
      </c>
      <c r="AC262" s="108"/>
    </row>
    <row r="263" spans="1:29" ht="13.5" customHeight="1">
      <c r="C263" s="1" t="s">
        <v>613</v>
      </c>
      <c r="Q263" s="109">
        <v>58</v>
      </c>
      <c r="R263" s="110" t="s">
        <v>606</v>
      </c>
      <c r="S263" s="109">
        <v>62</v>
      </c>
      <c r="T263" s="110" t="s">
        <v>606</v>
      </c>
      <c r="U263" s="109">
        <f>SUM(Q263+S263)</f>
        <v>120</v>
      </c>
      <c r="V263" s="110" t="s">
        <v>606</v>
      </c>
      <c r="X263" s="109">
        <v>29</v>
      </c>
      <c r="Y263" s="110" t="s">
        <v>606</v>
      </c>
      <c r="Z263" s="109">
        <v>26</v>
      </c>
      <c r="AA263" s="110" t="s">
        <v>606</v>
      </c>
      <c r="AB263" s="109">
        <f>SUM(X263+Z263)</f>
        <v>55</v>
      </c>
      <c r="AC263" s="110" t="s">
        <v>606</v>
      </c>
    </row>
    <row r="264" spans="1:29" ht="13.5" customHeight="1">
      <c r="B264" s="2" t="s">
        <v>1862</v>
      </c>
    </row>
    <row r="265" spans="1:29" ht="13.5" customHeight="1">
      <c r="B265" s="1" t="s">
        <v>1863</v>
      </c>
      <c r="X265" s="111" t="s">
        <v>612</v>
      </c>
      <c r="Y265" s="112"/>
      <c r="Z265" s="112"/>
    </row>
    <row r="266" spans="1:29" ht="13.5" customHeight="1">
      <c r="B266" s="1"/>
      <c r="C266" s="2" t="s">
        <v>1695</v>
      </c>
      <c r="X266" s="113" t="s">
        <v>614</v>
      </c>
      <c r="Y266" s="114"/>
      <c r="Z266" s="115"/>
    </row>
    <row r="267" spans="1:29" ht="13.5" customHeight="1">
      <c r="B267" s="1"/>
      <c r="C267" s="1" t="s">
        <v>1864</v>
      </c>
      <c r="X267" s="116" t="s">
        <v>644</v>
      </c>
      <c r="Y267" s="117"/>
      <c r="Z267" s="118"/>
    </row>
    <row r="268" spans="1:29" ht="13.5" customHeight="1">
      <c r="B268" s="2" t="s">
        <v>533</v>
      </c>
    </row>
    <row r="269" spans="1:29" ht="13.5" customHeight="1">
      <c r="B269" s="2" t="s">
        <v>1921</v>
      </c>
    </row>
    <row r="270" spans="1:29" ht="13.5" customHeight="1">
      <c r="C270" s="2" t="s">
        <v>534</v>
      </c>
    </row>
    <row r="272" spans="1:29" ht="13.5" customHeight="1">
      <c r="A272" s="1" t="s">
        <v>416</v>
      </c>
    </row>
    <row r="273" spans="2:23" ht="13.5" customHeight="1">
      <c r="B273" s="1" t="s">
        <v>417</v>
      </c>
    </row>
    <row r="274" spans="2:23" ht="13.5" customHeight="1">
      <c r="C274" s="2" t="s">
        <v>524</v>
      </c>
    </row>
    <row r="275" spans="2:23" ht="13.5" customHeight="1">
      <c r="B275" s="2" t="s">
        <v>510</v>
      </c>
    </row>
    <row r="276" spans="2:23" ht="13.5" customHeight="1">
      <c r="B276" s="5" t="s">
        <v>424</v>
      </c>
      <c r="C276" s="6"/>
      <c r="D276" s="6"/>
      <c r="E276" s="6" t="s">
        <v>423</v>
      </c>
      <c r="F276" s="3" t="s">
        <v>635</v>
      </c>
      <c r="G276" s="4"/>
      <c r="H276" s="71"/>
      <c r="I276" s="71"/>
      <c r="J276" s="4"/>
      <c r="K276" s="71"/>
      <c r="L276" s="71"/>
      <c r="M276" s="71"/>
      <c r="N276" s="71"/>
      <c r="O276" s="71"/>
      <c r="P276" s="4"/>
      <c r="Q276" s="4"/>
      <c r="R276" s="14"/>
    </row>
    <row r="277" spans="2:23" ht="13.5" customHeight="1">
      <c r="B277" s="49" t="s">
        <v>621</v>
      </c>
      <c r="C277" s="39"/>
      <c r="D277" s="39"/>
      <c r="E277" s="119" t="s">
        <v>622</v>
      </c>
      <c r="F277" s="273" t="s">
        <v>1939</v>
      </c>
      <c r="G277" s="274"/>
      <c r="H277" s="274"/>
      <c r="I277" s="274"/>
      <c r="J277" s="274"/>
      <c r="K277" s="274"/>
      <c r="L277" s="274"/>
      <c r="M277" s="274"/>
      <c r="N277" s="274"/>
      <c r="O277" s="274"/>
      <c r="P277" s="274"/>
      <c r="Q277" s="274"/>
      <c r="R277" s="275"/>
    </row>
    <row r="278" spans="2:23" ht="13.5" customHeight="1">
      <c r="B278" s="53" t="s">
        <v>623</v>
      </c>
      <c r="C278" s="38"/>
      <c r="D278" s="38"/>
      <c r="E278" s="124" t="s">
        <v>624</v>
      </c>
      <c r="F278" s="279" t="s">
        <v>1941</v>
      </c>
      <c r="G278" s="280"/>
      <c r="H278" s="280"/>
      <c r="I278" s="280"/>
      <c r="J278" s="280"/>
      <c r="K278" s="280"/>
      <c r="L278" s="280"/>
      <c r="M278" s="280"/>
      <c r="N278" s="280"/>
      <c r="O278" s="280"/>
      <c r="P278" s="280"/>
      <c r="Q278" s="280"/>
      <c r="R278" s="281"/>
    </row>
    <row r="279" spans="2:23" ht="13.5" customHeight="1">
      <c r="B279" s="53" t="s">
        <v>418</v>
      </c>
      <c r="C279" s="38"/>
      <c r="D279" s="38"/>
      <c r="E279" s="120" t="s">
        <v>425</v>
      </c>
      <c r="F279" s="270" t="s">
        <v>1942</v>
      </c>
      <c r="G279" s="271"/>
      <c r="H279" s="271"/>
      <c r="I279" s="271"/>
      <c r="J279" s="271"/>
      <c r="K279" s="271"/>
      <c r="L279" s="271"/>
      <c r="M279" s="271"/>
      <c r="N279" s="271"/>
      <c r="O279" s="271"/>
      <c r="P279" s="271"/>
      <c r="Q279" s="271"/>
      <c r="R279" s="272"/>
    </row>
    <row r="280" spans="2:23" ht="13.5" customHeight="1">
      <c r="B280" s="53" t="s">
        <v>436</v>
      </c>
      <c r="C280" s="38"/>
      <c r="D280" s="38"/>
      <c r="E280" s="121" t="s">
        <v>435</v>
      </c>
      <c r="F280" s="122" t="s">
        <v>476</v>
      </c>
      <c r="G280" s="123"/>
      <c r="H280" s="123"/>
      <c r="I280" s="123"/>
      <c r="J280" s="123"/>
      <c r="K280" s="123"/>
      <c r="L280" s="123"/>
      <c r="M280" s="123"/>
      <c r="N280" s="123"/>
      <c r="O280" s="123"/>
      <c r="P280" s="123"/>
      <c r="Q280" s="123"/>
      <c r="R280" s="56"/>
    </row>
    <row r="281" spans="2:23" ht="13.5" customHeight="1">
      <c r="B281" s="53" t="s">
        <v>626</v>
      </c>
      <c r="C281" s="38"/>
      <c r="D281" s="38"/>
      <c r="E281" s="120" t="s">
        <v>627</v>
      </c>
      <c r="F281" s="270" t="s">
        <v>1943</v>
      </c>
      <c r="G281" s="271"/>
      <c r="H281" s="271"/>
      <c r="I281" s="271"/>
      <c r="J281" s="271"/>
      <c r="K281" s="271"/>
      <c r="L281" s="271"/>
      <c r="M281" s="271"/>
      <c r="N281" s="271"/>
      <c r="O281" s="271"/>
      <c r="P281" s="271"/>
      <c r="Q281" s="271"/>
      <c r="R281" s="272"/>
      <c r="S281" s="61"/>
    </row>
    <row r="282" spans="2:23" ht="13.5" customHeight="1">
      <c r="B282" s="53" t="s">
        <v>422</v>
      </c>
      <c r="C282" s="38"/>
      <c r="D282" s="38"/>
      <c r="E282" s="124" t="s">
        <v>433</v>
      </c>
      <c r="F282" s="279" t="s">
        <v>1944</v>
      </c>
      <c r="G282" s="280"/>
      <c r="H282" s="280"/>
      <c r="I282" s="280"/>
      <c r="J282" s="280"/>
      <c r="K282" s="280"/>
      <c r="L282" s="280"/>
      <c r="M282" s="280"/>
      <c r="N282" s="280"/>
      <c r="O282" s="280"/>
      <c r="P282" s="280"/>
      <c r="Q282" s="280"/>
      <c r="R282" s="281"/>
      <c r="S282" s="61"/>
    </row>
    <row r="283" spans="2:23" ht="13.5" customHeight="1">
      <c r="B283" s="53" t="s">
        <v>628</v>
      </c>
      <c r="C283" s="38"/>
      <c r="D283" s="38"/>
      <c r="E283" s="125" t="s">
        <v>1447</v>
      </c>
      <c r="F283" s="126" t="s">
        <v>636</v>
      </c>
      <c r="G283" s="127"/>
      <c r="H283" s="127"/>
      <c r="I283" s="127"/>
      <c r="J283" s="127"/>
      <c r="K283" s="127"/>
      <c r="L283" s="127"/>
      <c r="M283" s="127"/>
      <c r="N283" s="127"/>
      <c r="O283" s="127"/>
      <c r="P283" s="127"/>
      <c r="Q283" s="127"/>
      <c r="R283" s="128"/>
      <c r="S283" s="61"/>
    </row>
    <row r="284" spans="2:23" ht="13.5" customHeight="1">
      <c r="B284" s="53" t="s">
        <v>629</v>
      </c>
      <c r="C284" s="38"/>
      <c r="D284" s="38"/>
      <c r="E284" s="124" t="s">
        <v>630</v>
      </c>
      <c r="F284" s="279" t="s">
        <v>1945</v>
      </c>
      <c r="G284" s="280"/>
      <c r="H284" s="280"/>
      <c r="I284" s="280"/>
      <c r="J284" s="280"/>
      <c r="K284" s="280"/>
      <c r="L284" s="280"/>
      <c r="M284" s="280"/>
      <c r="N284" s="280"/>
      <c r="O284" s="280"/>
      <c r="P284" s="280"/>
      <c r="Q284" s="280"/>
      <c r="R284" s="281"/>
      <c r="S284" s="61"/>
    </row>
    <row r="285" spans="2:23" ht="13.5" customHeight="1">
      <c r="B285" s="53" t="s">
        <v>420</v>
      </c>
      <c r="C285" s="38"/>
      <c r="D285" s="38"/>
      <c r="E285" s="129" t="s">
        <v>432</v>
      </c>
      <c r="F285" s="270" t="s">
        <v>1947</v>
      </c>
      <c r="G285" s="271"/>
      <c r="H285" s="271"/>
      <c r="I285" s="271"/>
      <c r="J285" s="271"/>
      <c r="K285" s="271"/>
      <c r="L285" s="271"/>
      <c r="M285" s="271"/>
      <c r="N285" s="271"/>
      <c r="O285" s="271"/>
      <c r="P285" s="271"/>
      <c r="Q285" s="271"/>
      <c r="R285" s="272"/>
      <c r="S285" s="61"/>
    </row>
    <row r="286" spans="2:23" ht="13.5" customHeight="1">
      <c r="B286" s="53" t="s">
        <v>421</v>
      </c>
      <c r="C286" s="38"/>
      <c r="D286" s="38"/>
      <c r="E286" s="124" t="s">
        <v>459</v>
      </c>
      <c r="F286" s="279" t="s">
        <v>1946</v>
      </c>
      <c r="G286" s="280"/>
      <c r="H286" s="280"/>
      <c r="I286" s="280"/>
      <c r="J286" s="280"/>
      <c r="K286" s="280"/>
      <c r="L286" s="280"/>
      <c r="M286" s="280"/>
      <c r="N286" s="280"/>
      <c r="O286" s="280"/>
      <c r="P286" s="280"/>
      <c r="Q286" s="280"/>
      <c r="R286" s="281"/>
      <c r="S286" s="61"/>
      <c r="W286" s="2" t="s">
        <v>2204</v>
      </c>
    </row>
    <row r="287" spans="2:23" ht="13.5" customHeight="1">
      <c r="B287" s="53" t="s">
        <v>419</v>
      </c>
      <c r="C287" s="38"/>
      <c r="D287" s="38"/>
      <c r="E287" s="129" t="s">
        <v>426</v>
      </c>
      <c r="F287" s="270" t="s">
        <v>1866</v>
      </c>
      <c r="G287" s="271"/>
      <c r="H287" s="271"/>
      <c r="I287" s="271"/>
      <c r="J287" s="271"/>
      <c r="K287" s="271"/>
      <c r="L287" s="271"/>
      <c r="M287" s="271"/>
      <c r="N287" s="271"/>
      <c r="O287" s="271"/>
      <c r="P287" s="271"/>
      <c r="Q287" s="271"/>
      <c r="R287" s="272"/>
    </row>
    <row r="288" spans="2:23" ht="13.5" customHeight="1">
      <c r="B288" s="53" t="s">
        <v>632</v>
      </c>
      <c r="C288" s="38"/>
      <c r="D288" s="38"/>
      <c r="E288" s="130" t="s">
        <v>1446</v>
      </c>
      <c r="F288" s="131" t="s">
        <v>636</v>
      </c>
      <c r="G288" s="132"/>
      <c r="H288" s="132"/>
      <c r="I288" s="132"/>
      <c r="J288" s="132"/>
      <c r="K288" s="132"/>
      <c r="L288" s="132"/>
      <c r="M288" s="132"/>
      <c r="N288" s="132"/>
      <c r="O288" s="132"/>
      <c r="P288" s="132"/>
      <c r="Q288" s="132"/>
      <c r="R288" s="133"/>
    </row>
    <row r="289" spans="2:19" ht="13.5" customHeight="1">
      <c r="B289" s="57" t="s">
        <v>631</v>
      </c>
      <c r="C289" s="16"/>
      <c r="D289" s="16"/>
      <c r="E289" s="134" t="s">
        <v>2099</v>
      </c>
      <c r="F289" s="276" t="s">
        <v>1940</v>
      </c>
      <c r="G289" s="277"/>
      <c r="H289" s="277"/>
      <c r="I289" s="277"/>
      <c r="J289" s="277"/>
      <c r="K289" s="277"/>
      <c r="L289" s="277"/>
      <c r="M289" s="277"/>
      <c r="N289" s="277"/>
      <c r="O289" s="277"/>
      <c r="P289" s="277"/>
      <c r="Q289" s="277"/>
      <c r="R289" s="278"/>
    </row>
    <row r="290" spans="2:19" ht="13.5" customHeight="1">
      <c r="C290" s="1" t="s">
        <v>637</v>
      </c>
    </row>
    <row r="291" spans="2:19" ht="13.5" customHeight="1">
      <c r="B291" s="5" t="s">
        <v>431</v>
      </c>
      <c r="C291" s="5"/>
      <c r="D291" s="5"/>
      <c r="E291" s="3" t="s">
        <v>635</v>
      </c>
      <c r="F291" s="4"/>
      <c r="G291" s="71"/>
      <c r="H291" s="71"/>
      <c r="I291" s="4"/>
      <c r="J291" s="71"/>
      <c r="K291" s="71"/>
      <c r="L291" s="71"/>
      <c r="M291" s="71"/>
      <c r="N291" s="71"/>
      <c r="O291" s="4"/>
      <c r="P291" s="4"/>
      <c r="Q291" s="4"/>
      <c r="R291" s="72"/>
      <c r="S291" s="61"/>
    </row>
    <row r="292" spans="2:19" ht="13.5" customHeight="1">
      <c r="B292" s="49" t="s">
        <v>638</v>
      </c>
      <c r="C292" s="39"/>
      <c r="D292" s="40"/>
      <c r="E292" s="135" t="s">
        <v>1867</v>
      </c>
      <c r="F292" s="135"/>
      <c r="G292" s="135"/>
      <c r="H292" s="135"/>
      <c r="I292" s="135"/>
      <c r="J292" s="135"/>
      <c r="K292" s="135"/>
      <c r="L292" s="135"/>
      <c r="M292" s="135"/>
      <c r="N292" s="135"/>
      <c r="O292" s="135"/>
      <c r="P292" s="135"/>
      <c r="Q292" s="135"/>
      <c r="R292" s="52"/>
      <c r="S292" s="61"/>
    </row>
    <row r="293" spans="2:19" ht="13.5" customHeight="1">
      <c r="B293" s="53" t="s">
        <v>633</v>
      </c>
      <c r="C293" s="38"/>
      <c r="D293" s="41"/>
      <c r="E293" s="123" t="s">
        <v>2205</v>
      </c>
      <c r="F293" s="123"/>
      <c r="G293" s="123"/>
      <c r="H293" s="123"/>
      <c r="I293" s="123"/>
      <c r="J293" s="123"/>
      <c r="K293" s="123"/>
      <c r="L293" s="123"/>
      <c r="M293" s="123"/>
      <c r="N293" s="123"/>
      <c r="O293" s="123"/>
      <c r="P293" s="123"/>
      <c r="Q293" s="123"/>
      <c r="R293" s="56"/>
      <c r="S293" s="61"/>
    </row>
    <row r="294" spans="2:19" ht="13.5" customHeight="1">
      <c r="B294" s="53" t="s">
        <v>2154</v>
      </c>
      <c r="C294" s="38"/>
      <c r="D294" s="41"/>
      <c r="E294" s="136" t="s">
        <v>2155</v>
      </c>
      <c r="F294" s="127"/>
      <c r="G294" s="127"/>
      <c r="H294" s="127"/>
      <c r="I294" s="127"/>
      <c r="J294" s="127"/>
      <c r="K294" s="127"/>
      <c r="L294" s="127"/>
      <c r="M294" s="127"/>
      <c r="N294" s="127"/>
      <c r="O294" s="127"/>
      <c r="P294" s="127"/>
      <c r="Q294" s="127"/>
      <c r="R294" s="128"/>
      <c r="S294" s="61"/>
    </row>
    <row r="295" spans="2:19" ht="13.5" customHeight="1">
      <c r="B295" s="53" t="s">
        <v>434</v>
      </c>
      <c r="C295" s="38"/>
      <c r="D295" s="41"/>
      <c r="E295" s="123"/>
      <c r="F295" s="123"/>
      <c r="G295" s="123"/>
      <c r="H295" s="123"/>
      <c r="I295" s="123"/>
      <c r="J295" s="123"/>
      <c r="K295" s="123"/>
      <c r="L295" s="123"/>
      <c r="M295" s="123"/>
      <c r="N295" s="123"/>
      <c r="O295" s="123"/>
      <c r="P295" s="123"/>
      <c r="Q295" s="123"/>
      <c r="R295" s="56"/>
      <c r="S295" s="61"/>
    </row>
    <row r="296" spans="2:19" ht="13.5" customHeight="1">
      <c r="B296" s="53" t="s">
        <v>625</v>
      </c>
      <c r="C296" s="38"/>
      <c r="D296" s="41"/>
      <c r="E296" s="127"/>
      <c r="F296" s="127"/>
      <c r="G296" s="127"/>
      <c r="H296" s="127"/>
      <c r="I296" s="127"/>
      <c r="J296" s="127"/>
      <c r="K296" s="127"/>
      <c r="L296" s="127"/>
      <c r="M296" s="127"/>
      <c r="N296" s="127"/>
      <c r="O296" s="127"/>
      <c r="P296" s="127"/>
      <c r="Q296" s="127"/>
      <c r="R296" s="128"/>
      <c r="S296" s="61"/>
    </row>
    <row r="297" spans="2:19" ht="13.5" customHeight="1">
      <c r="B297" s="53" t="s">
        <v>438</v>
      </c>
      <c r="C297" s="38"/>
      <c r="D297" s="41"/>
      <c r="E297" s="123"/>
      <c r="F297" s="123"/>
      <c r="G297" s="123"/>
      <c r="H297" s="123"/>
      <c r="I297" s="123"/>
      <c r="J297" s="123"/>
      <c r="K297" s="123"/>
      <c r="L297" s="123"/>
      <c r="M297" s="123"/>
      <c r="N297" s="123"/>
      <c r="O297" s="123"/>
      <c r="P297" s="123"/>
      <c r="Q297" s="123"/>
      <c r="R297" s="56"/>
      <c r="S297" s="61"/>
    </row>
    <row r="298" spans="2:19" ht="13.5" customHeight="1">
      <c r="B298" s="53" t="s">
        <v>437</v>
      </c>
      <c r="C298" s="38"/>
      <c r="D298" s="41"/>
      <c r="E298" s="127"/>
      <c r="F298" s="127"/>
      <c r="G298" s="127"/>
      <c r="H298" s="127"/>
      <c r="I298" s="127"/>
      <c r="J298" s="127"/>
      <c r="K298" s="127"/>
      <c r="L298" s="127"/>
      <c r="M298" s="127"/>
      <c r="N298" s="127"/>
      <c r="O298" s="127"/>
      <c r="P298" s="127"/>
      <c r="Q298" s="127"/>
      <c r="R298" s="128"/>
      <c r="S298" s="61"/>
    </row>
    <row r="299" spans="2:19" ht="13.5" customHeight="1">
      <c r="B299" s="57"/>
      <c r="C299" s="16"/>
      <c r="D299" s="42"/>
      <c r="E299" s="137"/>
      <c r="F299" s="137"/>
      <c r="G299" s="137"/>
      <c r="H299" s="137"/>
      <c r="I299" s="137"/>
      <c r="J299" s="137"/>
      <c r="K299" s="137"/>
      <c r="L299" s="137"/>
      <c r="M299" s="137"/>
      <c r="N299" s="137"/>
      <c r="O299" s="137"/>
      <c r="P299" s="137"/>
      <c r="Q299" s="137"/>
      <c r="R299" s="138"/>
      <c r="S299" s="61"/>
    </row>
    <row r="300" spans="2:19" ht="13.5" customHeight="1">
      <c r="B300" s="2" t="s">
        <v>1865</v>
      </c>
      <c r="S300" s="61"/>
    </row>
    <row r="301" spans="2:19" ht="13.5" customHeight="1">
      <c r="C301" s="2" t="s">
        <v>540</v>
      </c>
      <c r="S301" s="61"/>
    </row>
    <row r="302" spans="2:19" ht="13.5" customHeight="1">
      <c r="B302" s="2" t="s">
        <v>525</v>
      </c>
      <c r="S302" s="61"/>
    </row>
    <row r="303" spans="2:19" ht="13.5" customHeight="1">
      <c r="B303" s="2" t="s">
        <v>443</v>
      </c>
      <c r="S303" s="61"/>
    </row>
    <row r="304" spans="2:19" ht="13.5" customHeight="1">
      <c r="B304" s="61" t="s">
        <v>322</v>
      </c>
      <c r="C304" s="2" t="s">
        <v>444</v>
      </c>
    </row>
    <row r="305" spans="2:19" ht="13.5" customHeight="1">
      <c r="B305" s="61" t="s">
        <v>322</v>
      </c>
      <c r="C305" s="2" t="s">
        <v>445</v>
      </c>
    </row>
    <row r="306" spans="2:19" ht="13.5" customHeight="1">
      <c r="B306" s="61" t="s">
        <v>322</v>
      </c>
      <c r="C306" s="2" t="s">
        <v>446</v>
      </c>
      <c r="S306" s="61"/>
    </row>
    <row r="307" spans="2:19" ht="13.5" customHeight="1">
      <c r="B307" s="61" t="s">
        <v>322</v>
      </c>
      <c r="C307" s="2" t="s">
        <v>447</v>
      </c>
    </row>
    <row r="308" spans="2:19" ht="13.5" customHeight="1">
      <c r="B308" s="61" t="s">
        <v>322</v>
      </c>
      <c r="C308" s="2" t="s">
        <v>448</v>
      </c>
    </row>
    <row r="309" spans="2:19" ht="13.5" customHeight="1">
      <c r="B309" s="61" t="s">
        <v>322</v>
      </c>
      <c r="C309" s="2" t="s">
        <v>449</v>
      </c>
      <c r="S309" s="61"/>
    </row>
    <row r="310" spans="2:19" ht="13.5" customHeight="1">
      <c r="B310" s="2" t="s">
        <v>526</v>
      </c>
      <c r="S310" s="61"/>
    </row>
    <row r="311" spans="2:19" ht="13.5" customHeight="1">
      <c r="B311" s="2" t="s">
        <v>450</v>
      </c>
      <c r="S311" s="61"/>
    </row>
    <row r="312" spans="2:19" ht="13.5" customHeight="1">
      <c r="B312" s="61" t="s">
        <v>322</v>
      </c>
      <c r="C312" s="2" t="s">
        <v>451</v>
      </c>
      <c r="S312" s="61"/>
    </row>
    <row r="313" spans="2:19" ht="13.5" customHeight="1">
      <c r="B313" s="61" t="s">
        <v>322</v>
      </c>
      <c r="C313" s="2" t="s">
        <v>452</v>
      </c>
    </row>
    <row r="314" spans="2:19" ht="13.5" customHeight="1">
      <c r="B314" s="61" t="s">
        <v>322</v>
      </c>
      <c r="C314" s="2" t="s">
        <v>453</v>
      </c>
    </row>
    <row r="315" spans="2:19" ht="13.5" customHeight="1">
      <c r="B315" s="61" t="s">
        <v>322</v>
      </c>
      <c r="C315" s="2" t="s">
        <v>454</v>
      </c>
      <c r="S315" s="61"/>
    </row>
    <row r="316" spans="2:19" ht="13.5" customHeight="1">
      <c r="B316" s="61" t="s">
        <v>322</v>
      </c>
      <c r="C316" s="2" t="s">
        <v>455</v>
      </c>
    </row>
    <row r="317" spans="2:19" ht="13.5" customHeight="1">
      <c r="B317" s="61" t="s">
        <v>322</v>
      </c>
      <c r="C317" s="2" t="s">
        <v>456</v>
      </c>
    </row>
    <row r="318" spans="2:19" ht="13.5" customHeight="1">
      <c r="B318" s="61" t="s">
        <v>322</v>
      </c>
      <c r="C318" s="2" t="s">
        <v>457</v>
      </c>
    </row>
    <row r="320" spans="2:19" ht="13.5" customHeight="1">
      <c r="B320" s="61" t="s">
        <v>551</v>
      </c>
      <c r="H320"/>
    </row>
    <row r="321" spans="1:2" ht="13.5" customHeight="1">
      <c r="B321" s="61"/>
    </row>
    <row r="322" spans="1:2" ht="13.5" customHeight="1">
      <c r="B322" s="61"/>
    </row>
    <row r="323" spans="1:2" ht="13.5" customHeight="1">
      <c r="B323" s="61"/>
    </row>
    <row r="324" spans="1:2" ht="13.5" customHeight="1">
      <c r="B324" s="61"/>
    </row>
    <row r="325" spans="1:2" ht="13.5" customHeight="1">
      <c r="B325" s="61"/>
    </row>
    <row r="326" spans="1:2" ht="13.5" customHeight="1">
      <c r="B326" s="61"/>
    </row>
    <row r="327" spans="1:2" ht="13.5" customHeight="1">
      <c r="B327" s="61"/>
    </row>
    <row r="328" spans="1:2" ht="13.5" customHeight="1">
      <c r="B328" s="61"/>
    </row>
    <row r="329" spans="1:2" ht="13.5" customHeight="1">
      <c r="B329" s="61"/>
    </row>
    <row r="331" spans="1:2" ht="13.5" customHeight="1">
      <c r="A331" s="1"/>
    </row>
    <row r="337" spans="1:18" ht="13.5" customHeight="1">
      <c r="A337" s="1" t="s">
        <v>1855</v>
      </c>
    </row>
    <row r="338" spans="1:18" ht="13.5" customHeight="1">
      <c r="B338" s="2" t="s">
        <v>471</v>
      </c>
    </row>
    <row r="339" spans="1:18" ht="13.5" customHeight="1">
      <c r="B339" s="3" t="s">
        <v>531</v>
      </c>
      <c r="C339" s="4"/>
      <c r="D339" s="4"/>
      <c r="E339" s="71"/>
      <c r="F339" s="71"/>
      <c r="G339" s="4" t="s">
        <v>532</v>
      </c>
      <c r="H339" s="71"/>
      <c r="I339" s="71"/>
      <c r="J339" s="71"/>
      <c r="K339" s="71"/>
      <c r="L339" s="71"/>
      <c r="M339" s="71"/>
      <c r="N339" s="71"/>
      <c r="O339" s="71"/>
      <c r="P339" s="71"/>
      <c r="Q339" s="71"/>
      <c r="R339" s="72"/>
    </row>
    <row r="340" spans="1:18" ht="13.5" customHeight="1">
      <c r="B340" s="139" t="s">
        <v>475</v>
      </c>
      <c r="C340" s="140"/>
      <c r="D340" s="140"/>
      <c r="E340" s="141"/>
      <c r="F340" s="141"/>
      <c r="G340" s="142" t="s">
        <v>1529</v>
      </c>
      <c r="H340" s="135"/>
      <c r="I340" s="135"/>
      <c r="J340" s="135"/>
      <c r="K340" s="135"/>
      <c r="L340" s="135"/>
      <c r="M340" s="135"/>
      <c r="N340" s="135"/>
      <c r="O340" s="135"/>
      <c r="P340" s="135"/>
      <c r="Q340" s="135"/>
      <c r="R340" s="52"/>
    </row>
    <row r="341" spans="1:18" ht="13.5" customHeight="1">
      <c r="B341" s="143" t="s">
        <v>472</v>
      </c>
      <c r="C341" s="144"/>
      <c r="D341" s="144"/>
      <c r="E341" s="145"/>
      <c r="F341" s="145"/>
      <c r="G341" s="122" t="s">
        <v>1530</v>
      </c>
      <c r="H341" s="123"/>
      <c r="I341" s="123"/>
      <c r="J341" s="123"/>
      <c r="K341" s="123"/>
      <c r="L341" s="123"/>
      <c r="M341" s="123"/>
      <c r="N341" s="123"/>
      <c r="O341" s="123"/>
      <c r="P341" s="123"/>
      <c r="Q341" s="123"/>
      <c r="R341" s="56"/>
    </row>
    <row r="342" spans="1:18" ht="13.5" customHeight="1">
      <c r="B342" s="143" t="s">
        <v>473</v>
      </c>
      <c r="C342" s="144"/>
      <c r="D342" s="144"/>
      <c r="E342" s="145"/>
      <c r="F342" s="145"/>
      <c r="G342" s="126" t="s">
        <v>1531</v>
      </c>
      <c r="H342" s="127"/>
      <c r="I342" s="127"/>
      <c r="J342" s="127"/>
      <c r="K342" s="127"/>
      <c r="L342" s="127"/>
      <c r="M342" s="127"/>
      <c r="N342" s="127"/>
      <c r="O342" s="127"/>
      <c r="P342" s="127"/>
      <c r="Q342" s="127"/>
      <c r="R342" s="128"/>
    </row>
    <row r="343" spans="1:18" ht="13.5" customHeight="1">
      <c r="B343" s="143" t="s">
        <v>474</v>
      </c>
      <c r="C343" s="144"/>
      <c r="D343" s="144"/>
      <c r="E343" s="145"/>
      <c r="F343" s="145"/>
      <c r="G343" s="146" t="s">
        <v>1532</v>
      </c>
      <c r="H343" s="137"/>
      <c r="I343" s="137"/>
      <c r="J343" s="137"/>
      <c r="K343" s="137"/>
      <c r="L343" s="137"/>
      <c r="M343" s="137"/>
      <c r="N343" s="137"/>
      <c r="O343" s="137"/>
      <c r="P343" s="137"/>
      <c r="Q343" s="137"/>
      <c r="R343" s="138"/>
    </row>
    <row r="344" spans="1:18" ht="13.5" customHeight="1">
      <c r="B344" s="2" t="s">
        <v>541</v>
      </c>
    </row>
    <row r="345" spans="1:18" ht="13.5" customHeight="1">
      <c r="B345" s="1" t="s">
        <v>543</v>
      </c>
    </row>
    <row r="347" spans="1:18" ht="13.5" customHeight="1">
      <c r="A347" s="1" t="s">
        <v>463</v>
      </c>
    </row>
    <row r="348" spans="1:18" ht="13.5" customHeight="1">
      <c r="B348" s="2" t="s">
        <v>1868</v>
      </c>
    </row>
    <row r="350" spans="1:18" ht="13.5" customHeight="1">
      <c r="C350" s="2" t="s">
        <v>464</v>
      </c>
      <c r="E350" s="2" t="s">
        <v>466</v>
      </c>
    </row>
    <row r="352" spans="1:18" ht="13.5" customHeight="1">
      <c r="C352" s="2" t="s">
        <v>469</v>
      </c>
      <c r="E352" s="2" t="s">
        <v>2098</v>
      </c>
    </row>
    <row r="354" spans="1:6" ht="13.5" customHeight="1">
      <c r="C354" s="2" t="s">
        <v>470</v>
      </c>
    </row>
    <row r="356" spans="1:6" ht="13.5" customHeight="1">
      <c r="A356" s="1" t="s">
        <v>1851</v>
      </c>
      <c r="F356" s="2" t="s">
        <v>530</v>
      </c>
    </row>
    <row r="358" spans="1:6" ht="13.5" customHeight="1">
      <c r="A358" s="1" t="s">
        <v>1780</v>
      </c>
    </row>
    <row r="359" spans="1:6" ht="13.5" customHeight="1">
      <c r="B359" s="2" t="s">
        <v>1781</v>
      </c>
    </row>
    <row r="360" spans="1:6" ht="13.5" customHeight="1">
      <c r="B360" s="2" t="s">
        <v>1782</v>
      </c>
    </row>
    <row r="361" spans="1:6" ht="13.5" customHeight="1">
      <c r="C361" s="2" t="s">
        <v>1783</v>
      </c>
    </row>
    <row r="362" spans="1:6" ht="13.5" customHeight="1">
      <c r="C362" s="1" t="s">
        <v>1784</v>
      </c>
    </row>
    <row r="363" spans="1:6" ht="13.5" customHeight="1">
      <c r="C363" s="1" t="s">
        <v>1869</v>
      </c>
    </row>
    <row r="365" spans="1:6" ht="13.5" customHeight="1">
      <c r="A365" s="1" t="s">
        <v>1852</v>
      </c>
    </row>
    <row r="366" spans="1:6" ht="13.5" customHeight="1">
      <c r="B366" s="2" t="s">
        <v>1526</v>
      </c>
    </row>
    <row r="367" spans="1:6" ht="13.5" customHeight="1">
      <c r="C367" s="2" t="s">
        <v>661</v>
      </c>
    </row>
    <row r="368" spans="1:6" ht="13.5" customHeight="1">
      <c r="D368" s="2" t="s">
        <v>665</v>
      </c>
    </row>
    <row r="369" spans="2:4" ht="13.5" customHeight="1">
      <c r="D369" s="2" t="s">
        <v>1870</v>
      </c>
    </row>
    <row r="370" spans="2:4" ht="13.5" customHeight="1">
      <c r="C370" s="2" t="s">
        <v>662</v>
      </c>
    </row>
    <row r="371" spans="2:4" ht="13.5" customHeight="1">
      <c r="C371" s="2" t="s">
        <v>1872</v>
      </c>
    </row>
    <row r="372" spans="2:4" ht="13.5" customHeight="1">
      <c r="D372" s="1" t="s">
        <v>663</v>
      </c>
    </row>
    <row r="373" spans="2:4" ht="13.5" customHeight="1">
      <c r="C373" s="2" t="s">
        <v>1527</v>
      </c>
    </row>
    <row r="374" spans="2:4" ht="13.5" customHeight="1">
      <c r="D374" s="2" t="s">
        <v>664</v>
      </c>
    </row>
    <row r="375" spans="2:4" ht="13.5" customHeight="1">
      <c r="C375" s="2" t="s">
        <v>666</v>
      </c>
    </row>
    <row r="376" spans="2:4" ht="13.5" customHeight="1">
      <c r="D376" s="2" t="s">
        <v>667</v>
      </c>
    </row>
    <row r="377" spans="2:4" ht="13.5" customHeight="1">
      <c r="D377" s="2" t="s">
        <v>668</v>
      </c>
    </row>
    <row r="378" spans="2:4" ht="13.5" customHeight="1">
      <c r="B378" s="1" t="s">
        <v>1839</v>
      </c>
    </row>
  </sheetData>
  <mergeCells count="10">
    <mergeCell ref="F287:R287"/>
    <mergeCell ref="F277:R277"/>
    <mergeCell ref="F289:R289"/>
    <mergeCell ref="F278:R278"/>
    <mergeCell ref="F279:R279"/>
    <mergeCell ref="F281:R281"/>
    <mergeCell ref="F282:R282"/>
    <mergeCell ref="F284:R284"/>
    <mergeCell ref="F286:R286"/>
    <mergeCell ref="F285:R285"/>
  </mergeCells>
  <hyperlinks>
    <hyperlink ref="E286" r:id="rId1" xr:uid="{2B61F1B9-6BCB-4C40-A12D-45F75BC73872}"/>
    <hyperlink ref="E287" r:id="rId2" xr:uid="{CF1E1441-ECBB-4D65-9CD0-6BB8E929929E}"/>
    <hyperlink ref="A1" r:id="rId3" xr:uid="{BC1C6A08-4388-4BD0-AAE8-E5ACAF15E89E}"/>
    <hyperlink ref="E279" r:id="rId4" xr:uid="{77EA6C23-9DFF-40C3-B5ED-EE4F4A389016}"/>
    <hyperlink ref="C152" r:id="rId5" display="https://ppubs.uspto.gov/pubwebapp/static/pages/ppubsbasic.html" xr:uid="{AA46E780-E291-4159-A138-19C3E1AC761F}"/>
    <hyperlink ref="F260" r:id="rId6" xr:uid="{CED68A2F-9E92-4804-87D7-CBF761610ECF}"/>
    <hyperlink ref="F261" r:id="rId7" display="https://ppubs.uspto.gov/pubwebapp/static/pages/ppubsbasic.html" xr:uid="{02F22DF9-1E5F-49CE-A5C7-5625EB993A2B}"/>
    <hyperlink ref="S4" r:id="rId8" xr:uid="{5E7FAC50-D41D-4D67-B454-DDCC9CB837C3}"/>
    <hyperlink ref="E285" r:id="rId9" xr:uid="{B8F8763B-5F62-4DA0-A505-A5B81CCBB4BE}"/>
    <hyperlink ref="E281" r:id="rId10" xr:uid="{7006DA10-781B-457F-B640-71A9579146D1}"/>
    <hyperlink ref="S14" r:id="rId11" xr:uid="{828D9CBB-63BA-479C-92DD-C6DB4F3B627A}"/>
    <hyperlink ref="T6" r:id="rId12" xr:uid="{13AFFF33-EEA7-40A1-90A9-9314A6E28102}"/>
    <hyperlink ref="S7" r:id="rId13" xr:uid="{AA58F203-9104-43C6-8F5D-CFF58FF5CB74}"/>
    <hyperlink ref="S13" r:id="rId14" xr:uid="{51E40AD0-6D88-485B-AD2E-CF9C5CBEA8E8}"/>
    <hyperlink ref="S8" r:id="rId15" display="https://ppubs.uspto.gov/pubwebapp/static/pages/ppubsbasic.html" xr:uid="{04B3F909-B65C-4ADA-B877-26B6FB2EE9A9}"/>
    <hyperlink ref="S20" r:id="rId16" xr:uid="{9FE5778F-ACAC-468B-A3FE-E682CE016BFE}"/>
    <hyperlink ref="S10" r:id="rId17" xr:uid="{D0094C6A-1F4D-4CE0-82E0-A631CDDEF3B5}"/>
    <hyperlink ref="L16" r:id="rId18" display="mailto:investors@penumbrainc.com" xr:uid="{F262DD7E-2938-4DB7-8873-66511E7EB9DE}"/>
    <hyperlink ref="T9" r:id="rId19" xr:uid="{A5CDC481-F796-4EF1-AC84-B1F53DDEF073}"/>
    <hyperlink ref="S15" r:id="rId20" xr:uid="{D8E4D5EC-2E31-4771-B26E-C48A2B013926}"/>
    <hyperlink ref="S17" r:id="rId21" xr:uid="{C0FBBD8E-989E-4743-B966-01873BB05D5A}"/>
    <hyperlink ref="S5" r:id="rId22" xr:uid="{731B37DA-60FF-4E9D-8BC3-AECDA18422EC}"/>
    <hyperlink ref="S176" r:id="rId23" xr:uid="{00943B27-4E64-4B8D-8EC2-7D914F8DBDC7}"/>
    <hyperlink ref="S11" r:id="rId24" xr:uid="{4A1AAD5D-B121-47CD-8EDA-95CDA94ABAE4}"/>
    <hyperlink ref="T12" r:id="rId25" xr:uid="{0756DD1C-F0B2-48EB-938C-44414E414EF4}"/>
    <hyperlink ref="E278" r:id="rId26" xr:uid="{5680966A-424B-4D08-AC0F-0B86653AE291}"/>
    <hyperlink ref="S18" r:id="rId27" xr:uid="{9CA821C8-D088-488C-BE5D-88E9C23DB2ED}"/>
    <hyperlink ref="S19" r:id="rId28" xr:uid="{D6C3B99C-4521-4E42-986C-65606E7A0DC5}"/>
    <hyperlink ref="E284" r:id="rId29" xr:uid="{F1243C8D-6C3D-4B43-9583-FCE507717ADE}"/>
    <hyperlink ref="E282" r:id="rId30" xr:uid="{72E873E2-4050-4DEE-A128-B2F90CD66E0B}"/>
    <hyperlink ref="E289" r:id="rId31" xr:uid="{4FC1AF10-6E38-416D-AEE6-BB5C296141C5}"/>
    <hyperlink ref="S16" r:id="rId32" xr:uid="{F7F00917-F7D3-4483-B6C9-EA571FD6649B}"/>
    <hyperlink ref="E277" r:id="rId33" xr:uid="{8BB3B3FD-793B-457A-B9A3-4BD7916F376D}"/>
    <hyperlink ref="E294" r:id="rId34" xr:uid="{877CC2BF-BB72-4AA0-831D-E294B04198D9}"/>
  </hyperlinks>
  <printOptions headings="1"/>
  <pageMargins left="0.7" right="0.7" top="0.75" bottom="0.75" header="0.3" footer="0.3"/>
  <pageSetup orientation="portrait" r:id="rId35"/>
  <drawing r:id="rId3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4A2D-6AAA-4AD9-B807-60C20C2F39D0}">
  <sheetPr>
    <tabColor rgb="FF00B050"/>
  </sheetPr>
  <dimension ref="B1:DO96"/>
  <sheetViews>
    <sheetView zoomScale="85" zoomScaleNormal="85" workbookViewId="0">
      <pane xSplit="2" ySplit="3" topLeftCell="AO28" activePane="bottomRight" state="frozen"/>
      <selection pane="topRight" activeCell="C1" sqref="C1"/>
      <selection pane="bottomLeft" activeCell="A4" sqref="A4"/>
      <selection pane="bottomRight" activeCell="CA54" sqref="CA54"/>
    </sheetView>
  </sheetViews>
  <sheetFormatPr defaultColWidth="9.140625" defaultRowHeight="13.5" customHeight="1"/>
  <cols>
    <col min="1" max="1" width="3.140625" style="204" customWidth="1"/>
    <col min="2" max="2" width="37.28515625" style="204" customWidth="1"/>
    <col min="3" max="18" width="9" style="205" customWidth="1"/>
    <col min="19" max="22" width="9.28515625" style="204" bestFit="1" customWidth="1"/>
    <col min="23" max="23" width="10" style="204" bestFit="1" customWidth="1"/>
    <col min="24" max="30" width="9.42578125" style="204" bestFit="1" customWidth="1"/>
    <col min="31" max="31" width="9.42578125" style="204" customWidth="1"/>
    <col min="32" max="42" width="9.42578125" style="204" bestFit="1" customWidth="1"/>
    <col min="43" max="44" width="9.140625" style="210"/>
    <col min="45" max="45" width="9.140625" style="208"/>
    <col min="46" max="48" width="9.140625" style="210"/>
    <col min="49" max="54" width="9.140625" style="208"/>
    <col min="55" max="62" width="9.140625" style="204"/>
    <col min="63" max="68" width="9.28515625" style="204" bestFit="1" customWidth="1"/>
    <col min="69" max="69" width="9.28515625" style="204" customWidth="1"/>
    <col min="70" max="73" width="9.140625" style="209"/>
    <col min="74" max="74" width="9.42578125" style="209" bestFit="1" customWidth="1"/>
    <col min="75" max="119" width="9.140625" style="209"/>
    <col min="120" max="16384" width="9.140625" style="204"/>
  </cols>
  <sheetData>
    <row r="1" spans="2:119" ht="13.5" customHeight="1">
      <c r="S1" s="206" t="s">
        <v>1489</v>
      </c>
      <c r="W1" s="207" t="s">
        <v>1485</v>
      </c>
      <c r="AA1" s="207" t="s">
        <v>1481</v>
      </c>
      <c r="AE1" s="207" t="s">
        <v>1477</v>
      </c>
      <c r="AI1" s="207" t="s">
        <v>1473</v>
      </c>
      <c r="AM1" s="207" t="s">
        <v>1469</v>
      </c>
      <c r="AQ1" s="207" t="s">
        <v>1465</v>
      </c>
      <c r="AR1" s="207"/>
      <c r="AS1" s="204"/>
      <c r="AU1" s="207" t="s">
        <v>1493</v>
      </c>
    </row>
    <row r="2" spans="2:119" ht="13.5" customHeight="1">
      <c r="B2" s="204" t="s">
        <v>272</v>
      </c>
      <c r="C2" s="204" t="s">
        <v>268</v>
      </c>
      <c r="D2" s="204" t="s">
        <v>269</v>
      </c>
      <c r="E2" s="204" t="s">
        <v>270</v>
      </c>
      <c r="F2" s="204" t="s">
        <v>271</v>
      </c>
      <c r="G2" s="204" t="s">
        <v>268</v>
      </c>
      <c r="H2" s="204" t="s">
        <v>269</v>
      </c>
      <c r="I2" s="204" t="s">
        <v>270</v>
      </c>
      <c r="J2" s="204" t="s">
        <v>271</v>
      </c>
      <c r="K2" s="204" t="s">
        <v>268</v>
      </c>
      <c r="L2" s="204" t="s">
        <v>269</v>
      </c>
      <c r="M2" s="204" t="s">
        <v>270</v>
      </c>
      <c r="N2" s="204" t="s">
        <v>271</v>
      </c>
      <c r="O2" s="204" t="s">
        <v>268</v>
      </c>
      <c r="P2" s="204" t="s">
        <v>269</v>
      </c>
      <c r="Q2" s="204" t="s">
        <v>270</v>
      </c>
      <c r="R2" s="204" t="s">
        <v>271</v>
      </c>
      <c r="S2" s="204" t="s">
        <v>268</v>
      </c>
      <c r="T2" s="204" t="s">
        <v>269</v>
      </c>
      <c r="U2" s="204" t="s">
        <v>270</v>
      </c>
      <c r="V2" s="204" t="s">
        <v>271</v>
      </c>
      <c r="W2" s="204" t="s">
        <v>268</v>
      </c>
      <c r="X2" s="204" t="s">
        <v>269</v>
      </c>
      <c r="Y2" s="204" t="s">
        <v>270</v>
      </c>
      <c r="Z2" s="204" t="s">
        <v>271</v>
      </c>
      <c r="AA2" s="204" t="s">
        <v>268</v>
      </c>
      <c r="AB2" s="204" t="s">
        <v>269</v>
      </c>
      <c r="AC2" s="204" t="s">
        <v>270</v>
      </c>
      <c r="AD2" s="204" t="s">
        <v>271</v>
      </c>
      <c r="AE2" s="204" t="s">
        <v>268</v>
      </c>
      <c r="AF2" s="204" t="s">
        <v>269</v>
      </c>
      <c r="AG2" s="204" t="s">
        <v>270</v>
      </c>
      <c r="AH2" s="204" t="s">
        <v>271</v>
      </c>
      <c r="AI2" s="204" t="s">
        <v>268</v>
      </c>
      <c r="AJ2" s="204" t="s">
        <v>269</v>
      </c>
      <c r="AK2" s="204" t="s">
        <v>270</v>
      </c>
      <c r="AL2" s="204" t="s">
        <v>271</v>
      </c>
      <c r="AM2" s="204" t="s">
        <v>268</v>
      </c>
      <c r="AN2" s="204" t="s">
        <v>269</v>
      </c>
      <c r="AO2" s="204" t="s">
        <v>270</v>
      </c>
      <c r="AP2" s="204" t="s">
        <v>271</v>
      </c>
      <c r="AQ2" s="204" t="s">
        <v>268</v>
      </c>
      <c r="AR2" s="204" t="s">
        <v>269</v>
      </c>
      <c r="AS2" s="2" t="s">
        <v>270</v>
      </c>
      <c r="AT2" s="204" t="s">
        <v>271</v>
      </c>
      <c r="AU2" s="204" t="s">
        <v>268</v>
      </c>
      <c r="AV2" s="204" t="s">
        <v>269</v>
      </c>
      <c r="AW2" s="209" t="s">
        <v>270</v>
      </c>
      <c r="AX2" s="209" t="s">
        <v>271</v>
      </c>
      <c r="AY2" s="209" t="s">
        <v>268</v>
      </c>
      <c r="AZ2" s="209" t="s">
        <v>269</v>
      </c>
      <c r="BA2" s="209" t="s">
        <v>270</v>
      </c>
      <c r="BB2" s="209" t="s">
        <v>271</v>
      </c>
    </row>
    <row r="3" spans="2:119" ht="13.5" customHeight="1">
      <c r="B3" s="210" t="s">
        <v>273</v>
      </c>
      <c r="C3" s="206" t="s">
        <v>1464</v>
      </c>
      <c r="D3" s="206" t="s">
        <v>1463</v>
      </c>
      <c r="E3" s="206" t="s">
        <v>1462</v>
      </c>
      <c r="F3" s="206" t="s">
        <v>1461</v>
      </c>
      <c r="G3" s="206" t="s">
        <v>1460</v>
      </c>
      <c r="H3" s="206" t="s">
        <v>1459</v>
      </c>
      <c r="I3" s="206" t="s">
        <v>1458</v>
      </c>
      <c r="J3" s="206" t="s">
        <v>1457</v>
      </c>
      <c r="K3" s="206" t="s">
        <v>1456</v>
      </c>
      <c r="L3" s="206" t="s">
        <v>1455</v>
      </c>
      <c r="M3" s="206" t="s">
        <v>1454</v>
      </c>
      <c r="N3" s="206" t="s">
        <v>1453</v>
      </c>
      <c r="O3" s="206" t="s">
        <v>1452</v>
      </c>
      <c r="P3" s="206" t="s">
        <v>1451</v>
      </c>
      <c r="Q3" s="206" t="s">
        <v>1450</v>
      </c>
      <c r="R3" s="206" t="s">
        <v>1449</v>
      </c>
      <c r="S3" s="206" t="s">
        <v>1489</v>
      </c>
      <c r="T3" s="206" t="s">
        <v>1488</v>
      </c>
      <c r="U3" s="206" t="s">
        <v>1487</v>
      </c>
      <c r="V3" s="206" t="s">
        <v>1486</v>
      </c>
      <c r="W3" s="206" t="s">
        <v>1485</v>
      </c>
      <c r="X3" s="206" t="s">
        <v>1484</v>
      </c>
      <c r="Y3" s="206" t="s">
        <v>1483</v>
      </c>
      <c r="Z3" s="206" t="s">
        <v>1482</v>
      </c>
      <c r="AA3" s="206" t="s">
        <v>1481</v>
      </c>
      <c r="AB3" s="206" t="s">
        <v>1480</v>
      </c>
      <c r="AC3" s="206" t="s">
        <v>1479</v>
      </c>
      <c r="AD3" s="206" t="s">
        <v>1478</v>
      </c>
      <c r="AE3" s="206" t="s">
        <v>1477</v>
      </c>
      <c r="AF3" s="206" t="s">
        <v>1476</v>
      </c>
      <c r="AG3" s="206" t="s">
        <v>1475</v>
      </c>
      <c r="AH3" s="206" t="s">
        <v>1474</v>
      </c>
      <c r="AI3" s="206" t="s">
        <v>1473</v>
      </c>
      <c r="AJ3" s="206" t="s">
        <v>1472</v>
      </c>
      <c r="AK3" s="206" t="s">
        <v>1471</v>
      </c>
      <c r="AL3" s="206" t="s">
        <v>1470</v>
      </c>
      <c r="AM3" s="206" t="s">
        <v>1469</v>
      </c>
      <c r="AN3" s="206" t="s">
        <v>1468</v>
      </c>
      <c r="AO3" s="206" t="s">
        <v>1467</v>
      </c>
      <c r="AP3" s="206" t="s">
        <v>1466</v>
      </c>
      <c r="AQ3" s="206" t="s">
        <v>1465</v>
      </c>
      <c r="AR3" s="206" t="s">
        <v>1490</v>
      </c>
      <c r="AS3" s="210" t="s">
        <v>1491</v>
      </c>
      <c r="AT3" s="210" t="s">
        <v>1492</v>
      </c>
      <c r="AU3" s="210" t="s">
        <v>1493</v>
      </c>
      <c r="AV3" s="210" t="s">
        <v>1494</v>
      </c>
      <c r="AW3" s="208" t="s">
        <v>1495</v>
      </c>
      <c r="AX3" s="208" t="s">
        <v>1496</v>
      </c>
      <c r="AY3" s="208" t="s">
        <v>1497</v>
      </c>
      <c r="AZ3" s="208" t="s">
        <v>1498</v>
      </c>
      <c r="BA3" s="208" t="s">
        <v>1499</v>
      </c>
      <c r="BB3" s="208" t="s">
        <v>1500</v>
      </c>
      <c r="BG3" s="210">
        <v>2015</v>
      </c>
      <c r="BH3" s="210">
        <v>2016</v>
      </c>
      <c r="BI3" s="210">
        <v>2017</v>
      </c>
      <c r="BJ3" s="210">
        <v>2018</v>
      </c>
      <c r="BK3" s="210">
        <v>2019</v>
      </c>
      <c r="BL3" s="210">
        <v>2020</v>
      </c>
      <c r="BM3" s="210">
        <v>2021</v>
      </c>
      <c r="BN3" s="210">
        <v>2022</v>
      </c>
      <c r="BO3" s="210">
        <f t="shared" ref="BO3:DO3" si="0">BN3+1</f>
        <v>2023</v>
      </c>
      <c r="BP3" s="210">
        <f t="shared" si="0"/>
        <v>2024</v>
      </c>
      <c r="BQ3" s="210">
        <f t="shared" si="0"/>
        <v>2025</v>
      </c>
      <c r="BR3" s="208">
        <f t="shared" si="0"/>
        <v>2026</v>
      </c>
      <c r="BS3" s="208">
        <f t="shared" si="0"/>
        <v>2027</v>
      </c>
      <c r="BT3" s="208">
        <f t="shared" si="0"/>
        <v>2028</v>
      </c>
      <c r="BU3" s="208">
        <f t="shared" si="0"/>
        <v>2029</v>
      </c>
      <c r="BV3" s="208">
        <f t="shared" si="0"/>
        <v>2030</v>
      </c>
      <c r="BW3" s="208">
        <f t="shared" si="0"/>
        <v>2031</v>
      </c>
      <c r="BX3" s="208">
        <f t="shared" si="0"/>
        <v>2032</v>
      </c>
      <c r="BY3" s="208">
        <f t="shared" si="0"/>
        <v>2033</v>
      </c>
      <c r="BZ3" s="208">
        <f t="shared" si="0"/>
        <v>2034</v>
      </c>
      <c r="CA3" s="208">
        <f t="shared" si="0"/>
        <v>2035</v>
      </c>
      <c r="CB3" s="208">
        <f t="shared" si="0"/>
        <v>2036</v>
      </c>
      <c r="CC3" s="208">
        <f t="shared" si="0"/>
        <v>2037</v>
      </c>
      <c r="CD3" s="208">
        <f t="shared" si="0"/>
        <v>2038</v>
      </c>
      <c r="CE3" s="208">
        <f t="shared" si="0"/>
        <v>2039</v>
      </c>
      <c r="CF3" s="208">
        <f t="shared" si="0"/>
        <v>2040</v>
      </c>
      <c r="CG3" s="208">
        <f t="shared" si="0"/>
        <v>2041</v>
      </c>
      <c r="CH3" s="208">
        <f t="shared" si="0"/>
        <v>2042</v>
      </c>
      <c r="CI3" s="208">
        <f t="shared" si="0"/>
        <v>2043</v>
      </c>
      <c r="CJ3" s="208">
        <f t="shared" si="0"/>
        <v>2044</v>
      </c>
      <c r="CK3" s="208">
        <f t="shared" si="0"/>
        <v>2045</v>
      </c>
      <c r="CL3" s="208">
        <f t="shared" si="0"/>
        <v>2046</v>
      </c>
      <c r="CM3" s="208">
        <f t="shared" si="0"/>
        <v>2047</v>
      </c>
      <c r="CN3" s="208">
        <f t="shared" si="0"/>
        <v>2048</v>
      </c>
      <c r="CO3" s="208">
        <f t="shared" si="0"/>
        <v>2049</v>
      </c>
      <c r="CP3" s="208">
        <f t="shared" si="0"/>
        <v>2050</v>
      </c>
      <c r="CQ3" s="208">
        <f t="shared" si="0"/>
        <v>2051</v>
      </c>
      <c r="CR3" s="208">
        <f t="shared" si="0"/>
        <v>2052</v>
      </c>
      <c r="CS3" s="208">
        <f t="shared" si="0"/>
        <v>2053</v>
      </c>
      <c r="CT3" s="208">
        <f t="shared" si="0"/>
        <v>2054</v>
      </c>
      <c r="CU3" s="208">
        <f t="shared" si="0"/>
        <v>2055</v>
      </c>
      <c r="CV3" s="208">
        <f t="shared" si="0"/>
        <v>2056</v>
      </c>
      <c r="CW3" s="208">
        <f t="shared" si="0"/>
        <v>2057</v>
      </c>
      <c r="CX3" s="208">
        <f t="shared" si="0"/>
        <v>2058</v>
      </c>
      <c r="CY3" s="208">
        <f t="shared" si="0"/>
        <v>2059</v>
      </c>
      <c r="CZ3" s="208">
        <f t="shared" si="0"/>
        <v>2060</v>
      </c>
      <c r="DA3" s="208">
        <f t="shared" si="0"/>
        <v>2061</v>
      </c>
      <c r="DB3" s="208">
        <f t="shared" si="0"/>
        <v>2062</v>
      </c>
      <c r="DC3" s="208">
        <f t="shared" si="0"/>
        <v>2063</v>
      </c>
      <c r="DD3" s="208">
        <f t="shared" si="0"/>
        <v>2064</v>
      </c>
      <c r="DE3" s="208">
        <f t="shared" si="0"/>
        <v>2065</v>
      </c>
      <c r="DF3" s="208">
        <f t="shared" si="0"/>
        <v>2066</v>
      </c>
      <c r="DG3" s="208">
        <f t="shared" si="0"/>
        <v>2067</v>
      </c>
      <c r="DH3" s="208">
        <f t="shared" si="0"/>
        <v>2068</v>
      </c>
      <c r="DI3" s="208">
        <f t="shared" si="0"/>
        <v>2069</v>
      </c>
      <c r="DJ3" s="208">
        <f t="shared" si="0"/>
        <v>2070</v>
      </c>
      <c r="DK3" s="208">
        <f t="shared" si="0"/>
        <v>2071</v>
      </c>
      <c r="DL3" s="208">
        <f t="shared" si="0"/>
        <v>2072</v>
      </c>
      <c r="DM3" s="208">
        <f t="shared" si="0"/>
        <v>2073</v>
      </c>
      <c r="DN3" s="208">
        <f t="shared" si="0"/>
        <v>2074</v>
      </c>
      <c r="DO3" s="208">
        <f t="shared" si="0"/>
        <v>2075</v>
      </c>
    </row>
    <row r="4" spans="2:119" ht="13.5" customHeight="1">
      <c r="B4" s="238" t="s">
        <v>1621</v>
      </c>
      <c r="AI4" s="204">
        <v>145</v>
      </c>
      <c r="AJ4" s="204">
        <v>162</v>
      </c>
      <c r="AK4" s="204">
        <v>179</v>
      </c>
      <c r="AL4" s="211">
        <f>677-SUM(AI4:AK4)</f>
        <v>191</v>
      </c>
      <c r="AM4" s="204">
        <v>188</v>
      </c>
      <c r="AN4" s="204">
        <v>203</v>
      </c>
      <c r="AO4" s="204">
        <v>204</v>
      </c>
      <c r="AP4" s="211">
        <f>815-SUM(AM4:AO4)</f>
        <v>220</v>
      </c>
      <c r="AQ4" s="211">
        <v>226.54400000000001</v>
      </c>
      <c r="AR4" s="211">
        <v>230.256</v>
      </c>
      <c r="AS4" s="211">
        <v>236.4</v>
      </c>
      <c r="AT4" s="211">
        <f>947.918-SUM(AQ4:AS4)</f>
        <v>254.71799999999996</v>
      </c>
      <c r="AU4" s="211">
        <v>253.917</v>
      </c>
      <c r="AV4" s="211">
        <v>258.98099999999999</v>
      </c>
      <c r="AW4" s="225">
        <f t="shared" ref="AW4:AX4" si="1">AS4*(1+AW8)</f>
        <v>293.13600000000002</v>
      </c>
      <c r="AX4" s="225">
        <f t="shared" si="1"/>
        <v>315.85031999999995</v>
      </c>
      <c r="BO4" s="204">
        <f>SUM(AI4:AL4)</f>
        <v>677</v>
      </c>
      <c r="BP4" s="204">
        <f>SUM(AM4:AP4)</f>
        <v>815</v>
      </c>
      <c r="BQ4" s="211">
        <f>SUM(AQ4:AT4)</f>
        <v>947.91800000000001</v>
      </c>
      <c r="BR4" s="212">
        <f t="shared" ref="BR4:CA5" si="2">BQ4*(1+BR8)</f>
        <v>1123.2828300000001</v>
      </c>
      <c r="BS4" s="212">
        <f t="shared" si="2"/>
        <v>1370.4050526000001</v>
      </c>
      <c r="BT4" s="212">
        <f t="shared" si="2"/>
        <v>1658.1901136460001</v>
      </c>
      <c r="BU4" s="212">
        <f t="shared" si="2"/>
        <v>1964.9552846705103</v>
      </c>
      <c r="BV4" s="212">
        <f t="shared" si="2"/>
        <v>2298.9976830644969</v>
      </c>
      <c r="BW4" s="212">
        <f t="shared" si="2"/>
        <v>2666.8373123548163</v>
      </c>
      <c r="BX4" s="212">
        <f t="shared" si="2"/>
        <v>3066.8629092080387</v>
      </c>
      <c r="BY4" s="212">
        <f t="shared" si="2"/>
        <v>3496.2237164971643</v>
      </c>
      <c r="BZ4" s="212">
        <f t="shared" si="2"/>
        <v>3968.2139182242818</v>
      </c>
      <c r="CA4" s="212">
        <f t="shared" si="2"/>
        <v>4484.0817275934378</v>
      </c>
    </row>
    <row r="5" spans="2:119" ht="13.5" customHeight="1">
      <c r="B5" s="238" t="s">
        <v>1622</v>
      </c>
      <c r="AI5" s="204">
        <v>96</v>
      </c>
      <c r="AJ5" s="204">
        <v>99</v>
      </c>
      <c r="AK5" s="204">
        <v>92</v>
      </c>
      <c r="AL5" s="211">
        <f>381-SUM(AI5:AK5)</f>
        <v>94</v>
      </c>
      <c r="AM5" s="204">
        <v>91</v>
      </c>
      <c r="AN5" s="204">
        <v>96</v>
      </c>
      <c r="AO5" s="211">
        <v>96.89</v>
      </c>
      <c r="AP5" s="211">
        <f>379-SUM(AM5:AO5)</f>
        <v>95.110000000000014</v>
      </c>
      <c r="AQ5" s="211">
        <v>97.596000000000004</v>
      </c>
      <c r="AR5" s="211">
        <v>109.199</v>
      </c>
      <c r="AS5" s="211">
        <v>118.3</v>
      </c>
      <c r="AT5" s="211">
        <f>455.747-SUM(AQ5:AS5)</f>
        <v>130.65199999999999</v>
      </c>
      <c r="AU5" s="211">
        <v>120.84099999999999</v>
      </c>
      <c r="AV5" s="211">
        <v>131.065</v>
      </c>
      <c r="AW5" s="225">
        <f t="shared" ref="AW5:AX5" si="3">AS5*(1+AW9)</f>
        <v>129.83425</v>
      </c>
      <c r="AX5" s="225">
        <f t="shared" si="3"/>
        <v>143.06393999999997</v>
      </c>
      <c r="BO5" s="204">
        <f>SUM(AI5:AL5)</f>
        <v>381</v>
      </c>
      <c r="BP5" s="204">
        <f>SUM(AM5:AP5)</f>
        <v>379</v>
      </c>
      <c r="BQ5" s="211">
        <f>SUM(AQ5:AT5)</f>
        <v>455.74700000000001</v>
      </c>
      <c r="BR5" s="212">
        <f t="shared" si="2"/>
        <v>524.10905000000002</v>
      </c>
      <c r="BS5" s="212">
        <f t="shared" si="2"/>
        <v>607.966498</v>
      </c>
      <c r="BT5" s="212">
        <f t="shared" si="2"/>
        <v>693.08180772000003</v>
      </c>
      <c r="BU5" s="212">
        <f t="shared" si="2"/>
        <v>776.25162464640016</v>
      </c>
      <c r="BV5" s="212">
        <f t="shared" si="2"/>
        <v>853.87678711104024</v>
      </c>
      <c r="BW5" s="212">
        <f t="shared" si="2"/>
        <v>922.18693007992351</v>
      </c>
      <c r="BX5" s="212">
        <f t="shared" si="2"/>
        <v>986.74001518551825</v>
      </c>
      <c r="BY5" s="212">
        <f t="shared" si="2"/>
        <v>1045.9444160966493</v>
      </c>
      <c r="BZ5" s="212">
        <f t="shared" si="2"/>
        <v>1098.2416369014818</v>
      </c>
      <c r="CA5" s="212">
        <f t="shared" si="2"/>
        <v>1142.171302377541</v>
      </c>
    </row>
    <row r="6" spans="2:119" s="210" customFormat="1" ht="13.5" customHeight="1">
      <c r="B6" s="210" t="s">
        <v>275</v>
      </c>
      <c r="C6" s="213"/>
      <c r="D6" s="213"/>
      <c r="E6" s="213"/>
      <c r="F6" s="213"/>
      <c r="G6" s="213"/>
      <c r="H6" s="213"/>
      <c r="I6" s="213"/>
      <c r="J6" s="213"/>
      <c r="K6" s="213"/>
      <c r="L6" s="213"/>
      <c r="M6" s="213"/>
      <c r="N6" s="213"/>
      <c r="O6" s="213"/>
      <c r="P6" s="213"/>
      <c r="Q6" s="213"/>
      <c r="R6" s="213"/>
      <c r="AE6" s="214"/>
      <c r="AF6" s="214"/>
      <c r="AG6" s="214"/>
      <c r="AH6" s="214"/>
      <c r="AI6" s="210">
        <f t="shared" ref="AI6:AN6" si="4">SUM(AI4:AI5)</f>
        <v>241</v>
      </c>
      <c r="AJ6" s="210">
        <f t="shared" si="4"/>
        <v>261</v>
      </c>
      <c r="AK6" s="210">
        <f t="shared" si="4"/>
        <v>271</v>
      </c>
      <c r="AL6" s="210">
        <f t="shared" si="4"/>
        <v>285</v>
      </c>
      <c r="AM6" s="210">
        <f t="shared" si="4"/>
        <v>279</v>
      </c>
      <c r="AN6" s="210">
        <f t="shared" si="4"/>
        <v>299</v>
      </c>
      <c r="AO6" s="214">
        <f t="shared" ref="AO6:AT6" si="5">SUM(AO4:AO5)</f>
        <v>300.89</v>
      </c>
      <c r="AP6" s="214">
        <f t="shared" si="5"/>
        <v>315.11</v>
      </c>
      <c r="AQ6" s="214">
        <f t="shared" si="5"/>
        <v>324.14</v>
      </c>
      <c r="AR6" s="214">
        <f t="shared" si="5"/>
        <v>339.45499999999998</v>
      </c>
      <c r="AS6" s="214">
        <f t="shared" si="5"/>
        <v>354.7</v>
      </c>
      <c r="AT6" s="214">
        <f t="shared" si="5"/>
        <v>385.36999999999995</v>
      </c>
      <c r="AU6" s="214">
        <f t="shared" ref="AU6:AX6" si="6">AU4+AU5</f>
        <v>374.75799999999998</v>
      </c>
      <c r="AV6" s="214">
        <f t="shared" si="6"/>
        <v>390.04599999999999</v>
      </c>
      <c r="AW6" s="224">
        <f t="shared" si="6"/>
        <v>422.97025000000002</v>
      </c>
      <c r="AX6" s="224">
        <f t="shared" si="6"/>
        <v>458.9142599999999</v>
      </c>
      <c r="AY6" s="208"/>
      <c r="AZ6" s="208"/>
      <c r="BA6" s="208"/>
      <c r="BB6" s="208"/>
      <c r="BO6" s="210">
        <f>BO4+BO5</f>
        <v>1058</v>
      </c>
      <c r="BP6" s="210">
        <f>BP4+BP5</f>
        <v>1194</v>
      </c>
      <c r="BQ6" s="214">
        <f>SUM(AQ6:AT6)</f>
        <v>1403.665</v>
      </c>
      <c r="BR6" s="215">
        <f t="shared" ref="BR6" si="7">BR4+BR5</f>
        <v>1647.3918800000001</v>
      </c>
      <c r="BS6" s="215">
        <f t="shared" ref="BS6:CA6" si="8">BS4+BS5</f>
        <v>1978.3715506000001</v>
      </c>
      <c r="BT6" s="215">
        <f t="shared" si="8"/>
        <v>2351.2719213660002</v>
      </c>
      <c r="BU6" s="215">
        <f t="shared" si="8"/>
        <v>2741.2069093169102</v>
      </c>
      <c r="BV6" s="215">
        <f t="shared" si="8"/>
        <v>3152.8744701755372</v>
      </c>
      <c r="BW6" s="215">
        <f t="shared" si="8"/>
        <v>3589.0242424347398</v>
      </c>
      <c r="BX6" s="215">
        <f t="shared" si="8"/>
        <v>4053.6029243935568</v>
      </c>
      <c r="BY6" s="215">
        <f t="shared" si="8"/>
        <v>4542.1681325938134</v>
      </c>
      <c r="BZ6" s="215">
        <f t="shared" si="8"/>
        <v>5066.4555551257636</v>
      </c>
      <c r="CA6" s="215">
        <f t="shared" si="8"/>
        <v>5626.2530299709788</v>
      </c>
      <c r="CB6" s="208"/>
      <c r="CC6" s="208"/>
      <c r="CD6" s="208"/>
      <c r="CE6" s="208"/>
      <c r="CF6" s="208"/>
      <c r="CG6" s="208"/>
      <c r="CH6" s="208"/>
      <c r="CI6" s="208"/>
      <c r="CJ6" s="208"/>
      <c r="CK6" s="208"/>
      <c r="CL6" s="208"/>
      <c r="CM6" s="208"/>
      <c r="CN6" s="208"/>
      <c r="CO6" s="208"/>
      <c r="CP6" s="208"/>
      <c r="CQ6" s="208"/>
      <c r="CR6" s="208"/>
      <c r="CS6" s="208"/>
      <c r="CT6" s="208"/>
      <c r="CU6" s="208"/>
      <c r="CV6" s="208"/>
      <c r="CW6" s="208"/>
      <c r="CX6" s="208"/>
      <c r="CY6" s="208"/>
      <c r="CZ6" s="208"/>
      <c r="DA6" s="208"/>
      <c r="DB6" s="208"/>
      <c r="DC6" s="208"/>
      <c r="DD6" s="208"/>
      <c r="DE6" s="208"/>
      <c r="DF6" s="208"/>
      <c r="DG6" s="208"/>
      <c r="DH6" s="208"/>
      <c r="DI6" s="208"/>
      <c r="DJ6" s="208"/>
      <c r="DK6" s="208"/>
      <c r="DL6" s="208"/>
      <c r="DM6" s="208"/>
      <c r="DN6" s="208"/>
      <c r="DO6" s="208"/>
    </row>
    <row r="7" spans="2:119" ht="13.5" customHeight="1">
      <c r="AQ7" s="204"/>
      <c r="AR7" s="204"/>
      <c r="AS7" s="210"/>
      <c r="AT7" s="204"/>
    </row>
    <row r="8" spans="2:119" ht="13.5" customHeight="1">
      <c r="B8" s="239" t="s">
        <v>281</v>
      </c>
      <c r="W8" s="217"/>
      <c r="X8" s="217"/>
      <c r="Y8" s="217"/>
      <c r="Z8" s="217"/>
      <c r="AA8" s="217"/>
      <c r="AB8" s="217"/>
      <c r="AC8" s="217"/>
      <c r="AD8" s="217"/>
      <c r="AE8" s="217"/>
      <c r="AF8" s="217"/>
      <c r="AG8" s="217"/>
      <c r="AH8" s="217"/>
      <c r="AI8" s="217"/>
      <c r="AJ8" s="217"/>
      <c r="AK8" s="217"/>
      <c r="AL8" s="217"/>
      <c r="AM8" s="217">
        <f t="shared" ref="AM8:AT10" si="9">AM4/AI4-1</f>
        <v>0.29655172413793096</v>
      </c>
      <c r="AN8" s="217">
        <f t="shared" si="9"/>
        <v>0.25308641975308643</v>
      </c>
      <c r="AO8" s="217">
        <f t="shared" si="9"/>
        <v>0.13966480446927365</v>
      </c>
      <c r="AP8" s="217">
        <f t="shared" si="9"/>
        <v>0.1518324607329844</v>
      </c>
      <c r="AQ8" s="217">
        <f t="shared" si="9"/>
        <v>0.20502127659574465</v>
      </c>
      <c r="AR8" s="217">
        <f t="shared" si="9"/>
        <v>0.13426600985221682</v>
      </c>
      <c r="AS8" s="217">
        <f t="shared" si="9"/>
        <v>0.15882352941176481</v>
      </c>
      <c r="AT8" s="217">
        <f t="shared" si="9"/>
        <v>0.15780909090909079</v>
      </c>
      <c r="AU8" s="268">
        <v>0.17</v>
      </c>
      <c r="AV8" s="268">
        <v>0.22</v>
      </c>
      <c r="AW8" s="220">
        <v>0.24</v>
      </c>
      <c r="AX8" s="220">
        <v>0.24</v>
      </c>
      <c r="BL8" s="217"/>
      <c r="BM8" s="217"/>
      <c r="BN8" s="217"/>
      <c r="BO8" s="217"/>
      <c r="BP8" s="217">
        <f t="shared" ref="BP8:BQ10" si="10">BP4/BO4-1</f>
        <v>0.20384047267355987</v>
      </c>
      <c r="BQ8" s="217">
        <f t="shared" si="10"/>
        <v>0.16308957055214734</v>
      </c>
      <c r="BR8" s="219">
        <v>0.185</v>
      </c>
      <c r="BS8" s="219">
        <v>0.22</v>
      </c>
      <c r="BT8" s="219">
        <v>0.21</v>
      </c>
      <c r="BU8" s="219">
        <v>0.185</v>
      </c>
      <c r="BV8" s="219">
        <v>0.17</v>
      </c>
      <c r="BW8" s="219">
        <v>0.16</v>
      </c>
      <c r="BX8" s="219">
        <v>0.15</v>
      </c>
      <c r="BY8" s="219">
        <v>0.14000000000000001</v>
      </c>
      <c r="BZ8" s="219">
        <v>0.13500000000000001</v>
      </c>
      <c r="CA8" s="219">
        <v>0.13</v>
      </c>
    </row>
    <row r="9" spans="2:119" ht="13.5" customHeight="1">
      <c r="B9" s="239" t="s">
        <v>282</v>
      </c>
      <c r="W9" s="217"/>
      <c r="X9" s="217"/>
      <c r="Y9" s="217"/>
      <c r="Z9" s="217"/>
      <c r="AA9" s="217"/>
      <c r="AB9" s="217"/>
      <c r="AC9" s="217"/>
      <c r="AD9" s="217"/>
      <c r="AE9" s="217"/>
      <c r="AF9" s="217"/>
      <c r="AG9" s="217"/>
      <c r="AH9" s="217"/>
      <c r="AI9" s="217"/>
      <c r="AJ9" s="217"/>
      <c r="AK9" s="217"/>
      <c r="AL9" s="217"/>
      <c r="AM9" s="217">
        <f t="shared" si="9"/>
        <v>-5.208333333333337E-2</v>
      </c>
      <c r="AN9" s="217">
        <f t="shared" si="9"/>
        <v>-3.0303030303030276E-2</v>
      </c>
      <c r="AO9" s="217">
        <f t="shared" si="9"/>
        <v>5.3152173913043388E-2</v>
      </c>
      <c r="AP9" s="217">
        <f t="shared" si="9"/>
        <v>1.1808510638297909E-2</v>
      </c>
      <c r="AQ9" s="217">
        <f t="shared" si="9"/>
        <v>7.2483516483516475E-2</v>
      </c>
      <c r="AR9" s="217">
        <f t="shared" si="9"/>
        <v>0.13748958333333339</v>
      </c>
      <c r="AS9" s="217">
        <f t="shared" si="9"/>
        <v>0.22097223655692022</v>
      </c>
      <c r="AT9" s="217">
        <f t="shared" si="9"/>
        <v>0.37369361791609679</v>
      </c>
      <c r="AU9" s="268">
        <v>0.16</v>
      </c>
      <c r="AV9" s="268">
        <v>0.105</v>
      </c>
      <c r="AW9" s="220">
        <v>9.7500000000000003E-2</v>
      </c>
      <c r="AX9" s="220">
        <v>9.5000000000000001E-2</v>
      </c>
      <c r="BL9" s="217"/>
      <c r="BM9" s="217"/>
      <c r="BN9" s="217"/>
      <c r="BO9" s="217"/>
      <c r="BP9" s="217">
        <f t="shared" si="10"/>
        <v>-5.2493438320210251E-3</v>
      </c>
      <c r="BQ9" s="217">
        <f t="shared" si="10"/>
        <v>0.2024986807387863</v>
      </c>
      <c r="BR9" s="219">
        <v>0.15</v>
      </c>
      <c r="BS9" s="219">
        <v>0.16</v>
      </c>
      <c r="BT9" s="219">
        <v>0.14000000000000001</v>
      </c>
      <c r="BU9" s="219">
        <v>0.12</v>
      </c>
      <c r="BV9" s="219">
        <v>0.1</v>
      </c>
      <c r="BW9" s="219">
        <v>0.08</v>
      </c>
      <c r="BX9" s="219">
        <v>7.0000000000000007E-2</v>
      </c>
      <c r="BY9" s="219">
        <v>0.06</v>
      </c>
      <c r="BZ9" s="219">
        <v>0.05</v>
      </c>
      <c r="CA9" s="219">
        <v>0.04</v>
      </c>
    </row>
    <row r="10" spans="2:119" s="210" customFormat="1" ht="13.5" customHeight="1">
      <c r="B10" s="210" t="s">
        <v>278</v>
      </c>
      <c r="C10" s="213"/>
      <c r="D10" s="213"/>
      <c r="E10" s="213"/>
      <c r="F10" s="213"/>
      <c r="G10" s="213"/>
      <c r="H10" s="213"/>
      <c r="I10" s="213"/>
      <c r="J10" s="213"/>
      <c r="K10" s="213"/>
      <c r="L10" s="213"/>
      <c r="M10" s="213"/>
      <c r="N10" s="213"/>
      <c r="O10" s="213"/>
      <c r="P10" s="213"/>
      <c r="Q10" s="213"/>
      <c r="R10" s="213"/>
      <c r="W10" s="221"/>
      <c r="X10" s="221"/>
      <c r="Y10" s="221"/>
      <c r="Z10" s="221"/>
      <c r="AA10" s="221"/>
      <c r="AB10" s="221"/>
      <c r="AC10" s="221"/>
      <c r="AD10" s="221"/>
      <c r="AE10" s="221"/>
      <c r="AF10" s="221"/>
      <c r="AG10" s="221"/>
      <c r="AH10" s="221"/>
      <c r="AI10" s="221"/>
      <c r="AJ10" s="221"/>
      <c r="AK10" s="221"/>
      <c r="AL10" s="221"/>
      <c r="AM10" s="221">
        <f t="shared" si="9"/>
        <v>0.15767634854771795</v>
      </c>
      <c r="AN10" s="221">
        <f t="shared" si="9"/>
        <v>0.14559386973180066</v>
      </c>
      <c r="AO10" s="221">
        <f t="shared" si="9"/>
        <v>0.11029520295202944</v>
      </c>
      <c r="AP10" s="221">
        <f t="shared" si="9"/>
        <v>0.10564912280701755</v>
      </c>
      <c r="AQ10" s="221">
        <f t="shared" si="9"/>
        <v>0.16179211469534049</v>
      </c>
      <c r="AR10" s="221">
        <f t="shared" si="9"/>
        <v>0.13530100334448147</v>
      </c>
      <c r="AS10" s="221">
        <f t="shared" si="9"/>
        <v>0.17883611951211398</v>
      </c>
      <c r="AT10" s="221">
        <f t="shared" si="9"/>
        <v>0.22296975659293561</v>
      </c>
      <c r="AU10" s="269">
        <f>AU6/AQ6-1</f>
        <v>0.15616091812179911</v>
      </c>
      <c r="AV10" s="269">
        <f>AV6/AR6-1</f>
        <v>0.14903595469208009</v>
      </c>
      <c r="AW10" s="218">
        <f>AW6/AS6-1</f>
        <v>0.19247321680293217</v>
      </c>
      <c r="AX10" s="218">
        <f>AX6/AT6-1</f>
        <v>0.19084064665127021</v>
      </c>
      <c r="AY10" s="208"/>
      <c r="AZ10" s="208"/>
      <c r="BA10" s="208"/>
      <c r="BB10" s="208"/>
      <c r="BL10" s="221"/>
      <c r="BM10" s="221"/>
      <c r="BN10" s="221"/>
      <c r="BO10" s="221"/>
      <c r="BP10" s="221">
        <f t="shared" si="10"/>
        <v>0.12854442344045358</v>
      </c>
      <c r="BQ10" s="221">
        <f t="shared" si="10"/>
        <v>0.17559882747068678</v>
      </c>
      <c r="BR10" s="222">
        <f t="shared" ref="BR10:CA10" si="11">BR6/BQ6-1</f>
        <v>0.173636074134498</v>
      </c>
      <c r="BS10" s="222">
        <f t="shared" si="11"/>
        <v>0.20091131601304224</v>
      </c>
      <c r="BT10" s="222">
        <f t="shared" si="11"/>
        <v>0.1884885428386327</v>
      </c>
      <c r="BU10" s="222">
        <f t="shared" si="11"/>
        <v>0.16584002233326234</v>
      </c>
      <c r="BV10" s="222">
        <f t="shared" si="11"/>
        <v>0.15017748549350163</v>
      </c>
      <c r="BW10" s="222">
        <f t="shared" si="11"/>
        <v>0.13833401119674771</v>
      </c>
      <c r="BX10" s="222">
        <f t="shared" si="11"/>
        <v>0.1294442864068408</v>
      </c>
      <c r="BY10" s="222">
        <f t="shared" si="11"/>
        <v>0.12052616334476052</v>
      </c>
      <c r="BZ10" s="222">
        <f t="shared" si="11"/>
        <v>0.11542668770223496</v>
      </c>
      <c r="CA10" s="222">
        <f t="shared" si="11"/>
        <v>0.11049094751830291</v>
      </c>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c r="CY10" s="208"/>
      <c r="CZ10" s="208"/>
      <c r="DA10" s="208"/>
      <c r="DB10" s="208"/>
      <c r="DC10" s="208"/>
      <c r="DD10" s="208"/>
      <c r="DE10" s="208"/>
      <c r="DF10" s="208"/>
      <c r="DG10" s="208"/>
      <c r="DH10" s="208"/>
      <c r="DI10" s="208"/>
      <c r="DJ10" s="208"/>
      <c r="DK10" s="208"/>
      <c r="DL10" s="208"/>
      <c r="DM10" s="208"/>
      <c r="DN10" s="208"/>
      <c r="DO10" s="208"/>
    </row>
    <row r="11" spans="2:119" ht="13.5" customHeight="1">
      <c r="B11" s="210"/>
      <c r="AQ11" s="204"/>
      <c r="AR11" s="204"/>
      <c r="AS11" s="210"/>
      <c r="AT11" s="204"/>
    </row>
    <row r="12" spans="2:119" ht="13.5" customHeight="1">
      <c r="B12" s="239" t="s">
        <v>279</v>
      </c>
      <c r="W12" s="217"/>
      <c r="X12" s="217"/>
      <c r="Y12" s="217"/>
      <c r="Z12" s="217"/>
      <c r="AA12" s="217"/>
      <c r="AB12" s="217"/>
      <c r="AC12" s="217"/>
      <c r="AD12" s="217"/>
      <c r="AE12" s="217"/>
      <c r="AF12" s="217"/>
      <c r="AG12" s="217"/>
      <c r="AH12" s="217"/>
      <c r="AI12" s="217">
        <f t="shared" ref="AI12:AX12" si="12">AI4/AI6</f>
        <v>0.60165975103734437</v>
      </c>
      <c r="AJ12" s="217">
        <f t="shared" si="12"/>
        <v>0.62068965517241381</v>
      </c>
      <c r="AK12" s="217">
        <f t="shared" si="12"/>
        <v>0.66051660516605171</v>
      </c>
      <c r="AL12" s="217">
        <f t="shared" si="12"/>
        <v>0.6701754385964912</v>
      </c>
      <c r="AM12" s="217">
        <f t="shared" si="12"/>
        <v>0.6738351254480287</v>
      </c>
      <c r="AN12" s="217">
        <f t="shared" si="12"/>
        <v>0.67892976588628762</v>
      </c>
      <c r="AO12" s="217">
        <f t="shared" si="12"/>
        <v>0.6779886337199641</v>
      </c>
      <c r="AP12" s="217">
        <f t="shared" si="12"/>
        <v>0.69816889340230393</v>
      </c>
      <c r="AQ12" s="217">
        <f t="shared" si="12"/>
        <v>0.69890787931140874</v>
      </c>
      <c r="AR12" s="217">
        <f t="shared" si="12"/>
        <v>0.67831082175840685</v>
      </c>
      <c r="AS12" s="217">
        <f t="shared" si="12"/>
        <v>0.66647871440654083</v>
      </c>
      <c r="AT12" s="217">
        <f t="shared" ref="AT12" si="13">AT4/AT6</f>
        <v>0.66096997690531178</v>
      </c>
      <c r="AU12" s="268">
        <f t="shared" si="12"/>
        <v>0.6775492451128462</v>
      </c>
      <c r="AV12" s="268">
        <f t="shared" si="12"/>
        <v>0.66397553109120466</v>
      </c>
      <c r="AW12" s="218">
        <f t="shared" si="12"/>
        <v>0.69304165009241192</v>
      </c>
      <c r="AX12" s="218">
        <f t="shared" si="12"/>
        <v>0.68825562317457734</v>
      </c>
      <c r="BL12" s="217"/>
      <c r="BM12" s="217"/>
      <c r="BN12" s="217"/>
      <c r="BO12" s="217">
        <f>AVERAGE(AI12:AL12)</f>
        <v>0.63826036249307527</v>
      </c>
      <c r="BP12" s="217">
        <f>AVERAGE(AM12:AP12)</f>
        <v>0.68223060461414609</v>
      </c>
      <c r="BQ12" s="217">
        <f>AVERAGE(AN12:AQ12)</f>
        <v>0.68849879307999107</v>
      </c>
      <c r="BR12" s="219">
        <f t="shared" ref="BR12:CA12" si="14">BR4/BR6</f>
        <v>0.68185526688403975</v>
      </c>
      <c r="BS12" s="219">
        <f t="shared" si="14"/>
        <v>0.69269346912332208</v>
      </c>
      <c r="BT12" s="219">
        <f t="shared" si="14"/>
        <v>0.70523111281941997</v>
      </c>
      <c r="BU12" s="219">
        <f t="shared" si="14"/>
        <v>0.71682122133573767</v>
      </c>
      <c r="BV12" s="219">
        <f t="shared" si="14"/>
        <v>0.72917513995934624</v>
      </c>
      <c r="BW12" s="219">
        <f t="shared" si="14"/>
        <v>0.74305358008550926</v>
      </c>
      <c r="BX12" s="219">
        <f t="shared" si="14"/>
        <v>0.75657704180950569</v>
      </c>
      <c r="BY12" s="219">
        <f t="shared" si="14"/>
        <v>0.76972573767335195</v>
      </c>
      <c r="BZ12" s="219">
        <f t="shared" si="14"/>
        <v>0.78323275020336769</v>
      </c>
      <c r="CA12" s="219">
        <f t="shared" si="14"/>
        <v>0.79699254614159565</v>
      </c>
    </row>
    <row r="13" spans="2:119" ht="13.5" customHeight="1">
      <c r="B13" s="239" t="s">
        <v>280</v>
      </c>
      <c r="W13" s="217"/>
      <c r="X13" s="217"/>
      <c r="Y13" s="217"/>
      <c r="Z13" s="217"/>
      <c r="AA13" s="217"/>
      <c r="AB13" s="217"/>
      <c r="AC13" s="217"/>
      <c r="AD13" s="217"/>
      <c r="AE13" s="217"/>
      <c r="AF13" s="217"/>
      <c r="AG13" s="217"/>
      <c r="AH13" s="217"/>
      <c r="AI13" s="217">
        <f t="shared" ref="AI13:AX13" si="15">AI5/AI6</f>
        <v>0.39834024896265557</v>
      </c>
      <c r="AJ13" s="217">
        <f t="shared" si="15"/>
        <v>0.37931034482758619</v>
      </c>
      <c r="AK13" s="217">
        <f t="shared" si="15"/>
        <v>0.33948339483394835</v>
      </c>
      <c r="AL13" s="217">
        <f t="shared" si="15"/>
        <v>0.3298245614035088</v>
      </c>
      <c r="AM13" s="217">
        <f t="shared" si="15"/>
        <v>0.32616487455197135</v>
      </c>
      <c r="AN13" s="217">
        <f t="shared" si="15"/>
        <v>0.32107023411371238</v>
      </c>
      <c r="AO13" s="217">
        <f t="shared" si="15"/>
        <v>0.3220113662800359</v>
      </c>
      <c r="AP13" s="217">
        <f t="shared" si="15"/>
        <v>0.30183110659769607</v>
      </c>
      <c r="AQ13" s="217">
        <f t="shared" si="15"/>
        <v>0.30109212068859137</v>
      </c>
      <c r="AR13" s="217">
        <f t="shared" si="15"/>
        <v>0.32168917824159315</v>
      </c>
      <c r="AS13" s="217">
        <f t="shared" si="15"/>
        <v>0.33352128559345928</v>
      </c>
      <c r="AT13" s="217">
        <f t="shared" ref="AT13" si="16">AT5/AT6</f>
        <v>0.33903002309468822</v>
      </c>
      <c r="AU13" s="268">
        <f t="shared" si="15"/>
        <v>0.32245075488715386</v>
      </c>
      <c r="AV13" s="268">
        <f t="shared" si="15"/>
        <v>0.33602446890879539</v>
      </c>
      <c r="AW13" s="218">
        <f t="shared" si="15"/>
        <v>0.30695834990758802</v>
      </c>
      <c r="AX13" s="218">
        <f t="shared" si="15"/>
        <v>0.31174437682542272</v>
      </c>
      <c r="BL13" s="217"/>
      <c r="BM13" s="217"/>
      <c r="BN13" s="217"/>
      <c r="BO13" s="217">
        <f>AVERAGE(AI13:AL13)</f>
        <v>0.36173963750692473</v>
      </c>
      <c r="BP13" s="217">
        <f>AVERAGE(AM13:AP13)</f>
        <v>0.31776939538585391</v>
      </c>
      <c r="BQ13" s="217">
        <f>AVERAGE(AN13:AQ13)</f>
        <v>0.31150120692000893</v>
      </c>
      <c r="BR13" s="219">
        <f t="shared" ref="BR13:CA13" si="17">BR5/BR6</f>
        <v>0.31814473311596025</v>
      </c>
      <c r="BS13" s="219">
        <f t="shared" si="17"/>
        <v>0.30730653087667786</v>
      </c>
      <c r="BT13" s="219">
        <f t="shared" si="17"/>
        <v>0.29476888718057997</v>
      </c>
      <c r="BU13" s="219">
        <f t="shared" si="17"/>
        <v>0.28317877866426239</v>
      </c>
      <c r="BV13" s="219">
        <f t="shared" si="17"/>
        <v>0.27082486004065376</v>
      </c>
      <c r="BW13" s="219">
        <f t="shared" si="17"/>
        <v>0.25694641991449069</v>
      </c>
      <c r="BX13" s="219">
        <f t="shared" si="17"/>
        <v>0.24342295819049431</v>
      </c>
      <c r="BY13" s="219">
        <f t="shared" si="17"/>
        <v>0.23027426232664813</v>
      </c>
      <c r="BZ13" s="219">
        <f t="shared" si="17"/>
        <v>0.21676724979663231</v>
      </c>
      <c r="CA13" s="219">
        <f t="shared" si="17"/>
        <v>0.20300745385840432</v>
      </c>
    </row>
    <row r="14" spans="2:119" ht="13.5" customHeight="1">
      <c r="B14" s="216"/>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0"/>
      <c r="AT14" s="217"/>
      <c r="BL14" s="217"/>
      <c r="BM14" s="217"/>
      <c r="BN14" s="217"/>
      <c r="BO14" s="217"/>
      <c r="BP14" s="217"/>
      <c r="BQ14" s="217"/>
    </row>
    <row r="15" spans="2:119" ht="13.5" customHeight="1">
      <c r="B15" s="239" t="s">
        <v>276</v>
      </c>
      <c r="S15" s="211">
        <v>82.510999999999996</v>
      </c>
      <c r="T15" s="211">
        <v>86.373999999999995</v>
      </c>
      <c r="U15" s="211">
        <v>90.272000000000006</v>
      </c>
      <c r="V15" s="211">
        <f>355.22-SUM(S15:U15)</f>
        <v>96.063000000000045</v>
      </c>
      <c r="W15" s="204">
        <v>96</v>
      </c>
      <c r="X15" s="204">
        <v>78</v>
      </c>
      <c r="Y15" s="204">
        <v>110</v>
      </c>
      <c r="Z15" s="211">
        <f>400-SUM(W15:Y15)</f>
        <v>116</v>
      </c>
      <c r="AA15" s="204">
        <v>120</v>
      </c>
      <c r="AB15" s="204">
        <v>128</v>
      </c>
      <c r="AC15" s="204">
        <v>135</v>
      </c>
      <c r="AD15" s="211">
        <f>528-SUM(AA15:AC15)</f>
        <v>145</v>
      </c>
      <c r="AE15" s="204">
        <v>144</v>
      </c>
      <c r="AF15" s="204">
        <v>141</v>
      </c>
      <c r="AG15" s="204">
        <v>149</v>
      </c>
      <c r="AH15" s="211">
        <f>592-SUM(AE15:AG15)</f>
        <v>158</v>
      </c>
      <c r="AI15" s="204">
        <v>172</v>
      </c>
      <c r="AJ15" s="204">
        <v>186</v>
      </c>
      <c r="AK15" s="204">
        <v>195</v>
      </c>
      <c r="AL15" s="211">
        <f>757-SUM(AI15:AK15)</f>
        <v>204</v>
      </c>
      <c r="AM15" s="204">
        <v>210</v>
      </c>
      <c r="AN15" s="204">
        <v>218</v>
      </c>
      <c r="AO15" s="204">
        <v>226</v>
      </c>
      <c r="AP15" s="211">
        <f>902-SUM(AM15:AO15)</f>
        <v>248</v>
      </c>
      <c r="AQ15" s="211">
        <v>256.86</v>
      </c>
      <c r="AR15" s="211">
        <v>260.81799999999998</v>
      </c>
      <c r="AS15" s="211">
        <v>275.029</v>
      </c>
      <c r="AT15" s="211">
        <f>1091.761-SUM(AQ15:AS15)</f>
        <v>299.05399999999997</v>
      </c>
      <c r="AU15" s="211">
        <v>296.387</v>
      </c>
      <c r="AV15" s="211">
        <v>305.44499999999999</v>
      </c>
      <c r="BK15" s="223">
        <f>SUM(S15:V15)</f>
        <v>355.22</v>
      </c>
      <c r="BL15" s="204">
        <f>SUM(W15:Z15)</f>
        <v>400</v>
      </c>
      <c r="BM15" s="204">
        <f>SUM(AA15:AC15)</f>
        <v>383</v>
      </c>
      <c r="BN15" s="204">
        <f>SUM(AE15:AG15)</f>
        <v>434</v>
      </c>
      <c r="BO15" s="204">
        <f>SUM(AI15:AL15)</f>
        <v>757</v>
      </c>
      <c r="BP15" s="204">
        <f>SUM(AM15:AP15)</f>
        <v>902</v>
      </c>
      <c r="BQ15" s="211">
        <f>SUM(AQ15:AT15)</f>
        <v>1091.761</v>
      </c>
    </row>
    <row r="16" spans="2:119" ht="13.5" customHeight="1">
      <c r="B16" s="239" t="s">
        <v>277</v>
      </c>
      <c r="S16" s="211">
        <f>9.522+36.406</f>
        <v>45.927999999999997</v>
      </c>
      <c r="T16" s="211">
        <f>12.231+35.596</f>
        <v>47.826999999999998</v>
      </c>
      <c r="U16" s="211">
        <f>11.214+38.016</f>
        <v>49.23</v>
      </c>
      <c r="V16" s="211">
        <f>42.52+149.663-SUM(S16:U16)</f>
        <v>49.198000000000036</v>
      </c>
      <c r="W16" s="204">
        <v>41</v>
      </c>
      <c r="X16" s="204">
        <v>27</v>
      </c>
      <c r="Y16" s="204">
        <v>41</v>
      </c>
      <c r="Z16" s="211">
        <f>160-SUM(W16:Y16)</f>
        <v>51</v>
      </c>
      <c r="AA16" s="204">
        <v>49</v>
      </c>
      <c r="AB16" s="204">
        <v>56</v>
      </c>
      <c r="AC16" s="204">
        <v>55</v>
      </c>
      <c r="AD16" s="211">
        <f>220-SUM(AA16:AC16)</f>
        <v>60</v>
      </c>
      <c r="AE16" s="204">
        <v>60</v>
      </c>
      <c r="AF16" s="204">
        <v>67</v>
      </c>
      <c r="AG16" s="204">
        <v>65</v>
      </c>
      <c r="AH16" s="211">
        <f>255-SUM(AE16:AG16)</f>
        <v>63</v>
      </c>
      <c r="AI16" s="204">
        <v>69</v>
      </c>
      <c r="AJ16" s="204">
        <v>75</v>
      </c>
      <c r="AK16" s="204">
        <v>76</v>
      </c>
      <c r="AL16" s="211">
        <f>301-SUM(AI16:AK16)</f>
        <v>81</v>
      </c>
      <c r="AM16" s="204">
        <v>69</v>
      </c>
      <c r="AN16" s="204">
        <v>81</v>
      </c>
      <c r="AO16" s="204">
        <v>77</v>
      </c>
      <c r="AP16" s="211">
        <f>292-SUM(AM16:AO16)</f>
        <v>65</v>
      </c>
      <c r="AQ16" s="211">
        <v>67.28</v>
      </c>
      <c r="AR16" s="211">
        <v>78.637</v>
      </c>
      <c r="AS16" s="211">
        <v>79.656000000000006</v>
      </c>
      <c r="AT16" s="211">
        <f>311.904-SUM(AQ16:AS16)</f>
        <v>86.330999999999989</v>
      </c>
      <c r="AU16" s="211">
        <v>78.370999999999995</v>
      </c>
      <c r="AV16" s="211">
        <v>84.600999999999999</v>
      </c>
      <c r="BK16" s="223">
        <f>SUM(S16:V16)</f>
        <v>192.18300000000002</v>
      </c>
      <c r="BL16" s="204">
        <f>SUM(W16:Z16)</f>
        <v>160</v>
      </c>
      <c r="BM16" s="204">
        <f>SUM(AA16:AC16)</f>
        <v>160</v>
      </c>
      <c r="BN16" s="204">
        <f>SUM(AE16:AG16)</f>
        <v>192</v>
      </c>
      <c r="BO16" s="204">
        <f>SUM(AI16:AL16)</f>
        <v>301</v>
      </c>
      <c r="BP16" s="204">
        <f>SUM(AM16:AP16)</f>
        <v>292</v>
      </c>
      <c r="BQ16" s="211">
        <f>SUM(AQ16:AT16)</f>
        <v>311.904</v>
      </c>
    </row>
    <row r="17" spans="2:119" s="210" customFormat="1" ht="13.5" customHeight="1">
      <c r="B17" s="210" t="s">
        <v>275</v>
      </c>
      <c r="C17" s="213"/>
      <c r="D17" s="213"/>
      <c r="E17" s="213"/>
      <c r="F17" s="213"/>
      <c r="G17" s="213"/>
      <c r="H17" s="213"/>
      <c r="I17" s="213"/>
      <c r="J17" s="213"/>
      <c r="K17" s="213"/>
      <c r="L17" s="213"/>
      <c r="M17" s="213"/>
      <c r="N17" s="213"/>
      <c r="O17" s="213"/>
      <c r="P17" s="213"/>
      <c r="Q17" s="213"/>
      <c r="R17" s="213"/>
      <c r="S17" s="214">
        <f t="shared" ref="S17:AN17" si="18">SUM(S15:S16)</f>
        <v>128.43899999999999</v>
      </c>
      <c r="T17" s="214">
        <f t="shared" si="18"/>
        <v>134.20099999999999</v>
      </c>
      <c r="U17" s="214">
        <f t="shared" si="18"/>
        <v>139.50200000000001</v>
      </c>
      <c r="V17" s="214">
        <f t="shared" si="18"/>
        <v>145.26100000000008</v>
      </c>
      <c r="W17" s="210">
        <f t="shared" si="18"/>
        <v>137</v>
      </c>
      <c r="X17" s="210">
        <f t="shared" si="18"/>
        <v>105</v>
      </c>
      <c r="Y17" s="210">
        <f t="shared" si="18"/>
        <v>151</v>
      </c>
      <c r="Z17" s="210">
        <f t="shared" si="18"/>
        <v>167</v>
      </c>
      <c r="AA17" s="210">
        <f t="shared" si="18"/>
        <v>169</v>
      </c>
      <c r="AB17" s="210">
        <f t="shared" si="18"/>
        <v>184</v>
      </c>
      <c r="AC17" s="210">
        <f t="shared" si="18"/>
        <v>190</v>
      </c>
      <c r="AD17" s="210">
        <f t="shared" si="18"/>
        <v>205</v>
      </c>
      <c r="AE17" s="210">
        <f t="shared" si="18"/>
        <v>204</v>
      </c>
      <c r="AF17" s="210">
        <f t="shared" si="18"/>
        <v>208</v>
      </c>
      <c r="AG17" s="210">
        <f t="shared" si="18"/>
        <v>214</v>
      </c>
      <c r="AH17" s="210">
        <f t="shared" si="18"/>
        <v>221</v>
      </c>
      <c r="AI17" s="210">
        <f t="shared" si="18"/>
        <v>241</v>
      </c>
      <c r="AJ17" s="210">
        <f t="shared" si="18"/>
        <v>261</v>
      </c>
      <c r="AK17" s="210">
        <f t="shared" si="18"/>
        <v>271</v>
      </c>
      <c r="AL17" s="210">
        <f t="shared" si="18"/>
        <v>285</v>
      </c>
      <c r="AM17" s="210">
        <f t="shared" si="18"/>
        <v>279</v>
      </c>
      <c r="AN17" s="210">
        <f t="shared" si="18"/>
        <v>299</v>
      </c>
      <c r="AO17" s="210">
        <f t="shared" ref="AO17:AT17" si="19">SUM(AO15:AO16)</f>
        <v>303</v>
      </c>
      <c r="AP17" s="210">
        <f t="shared" si="19"/>
        <v>313</v>
      </c>
      <c r="AQ17" s="214">
        <f t="shared" si="19"/>
        <v>324.14</v>
      </c>
      <c r="AR17" s="214">
        <f t="shared" si="19"/>
        <v>339.45499999999998</v>
      </c>
      <c r="AS17" s="214">
        <f t="shared" si="19"/>
        <v>354.685</v>
      </c>
      <c r="AT17" s="214">
        <f t="shared" si="19"/>
        <v>385.38499999999999</v>
      </c>
      <c r="AU17" s="214">
        <f t="shared" ref="AU17:AV17" si="20">SUM(AU15:AU16)</f>
        <v>374.75799999999998</v>
      </c>
      <c r="AV17" s="214">
        <f t="shared" si="20"/>
        <v>390.04599999999999</v>
      </c>
      <c r="AW17" s="208"/>
      <c r="AX17" s="208"/>
      <c r="AY17" s="208"/>
      <c r="AZ17" s="208"/>
      <c r="BA17" s="208"/>
      <c r="BB17" s="208"/>
      <c r="BK17" s="214">
        <f>SUM(S17:V17)</f>
        <v>547.40300000000002</v>
      </c>
      <c r="BL17" s="214">
        <f>SUM(W17:Z17)</f>
        <v>560</v>
      </c>
      <c r="BM17" s="214">
        <f>SUM(AA17:AD17)</f>
        <v>748</v>
      </c>
      <c r="BN17" s="214">
        <f>SUM(AE17:AH17)</f>
        <v>847</v>
      </c>
      <c r="BO17" s="214">
        <f>SUM(AI17:AL17)</f>
        <v>1058</v>
      </c>
      <c r="BP17" s="214">
        <f>SUM(AM17:AP17)</f>
        <v>1194</v>
      </c>
      <c r="BQ17" s="214">
        <f>SUM(AQ17:AT17)</f>
        <v>1403.665</v>
      </c>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c r="CY17" s="208"/>
      <c r="CZ17" s="208"/>
      <c r="DA17" s="208"/>
      <c r="DB17" s="208"/>
      <c r="DC17" s="208"/>
      <c r="DD17" s="208"/>
      <c r="DE17" s="208"/>
      <c r="DF17" s="208"/>
      <c r="DG17" s="208"/>
      <c r="DH17" s="208"/>
      <c r="DI17" s="208"/>
      <c r="DJ17" s="208"/>
      <c r="DK17" s="208"/>
      <c r="DL17" s="208"/>
      <c r="DM17" s="208"/>
      <c r="DN17" s="208"/>
      <c r="DO17" s="208"/>
    </row>
    <row r="18" spans="2:119" ht="13.5" customHeight="1">
      <c r="B18" s="239"/>
      <c r="AQ18" s="204"/>
      <c r="AR18" s="204"/>
      <c r="AS18" s="210"/>
      <c r="AT18" s="204"/>
      <c r="AU18" s="204"/>
      <c r="AV18" s="204"/>
    </row>
    <row r="19" spans="2:119" ht="13.5" customHeight="1">
      <c r="B19" s="239" t="s">
        <v>285</v>
      </c>
      <c r="S19" s="217"/>
      <c r="T19" s="217"/>
      <c r="U19" s="217"/>
      <c r="V19" s="217"/>
      <c r="W19" s="217">
        <f t="shared" ref="W19:AT21" si="21">W15/S15-1</f>
        <v>0.16348123280532301</v>
      </c>
      <c r="X19" s="217">
        <f t="shared" si="21"/>
        <v>-9.6950471206613043E-2</v>
      </c>
      <c r="Y19" s="217">
        <f t="shared" si="21"/>
        <v>0.21853952499113771</v>
      </c>
      <c r="Z19" s="217">
        <f t="shared" si="21"/>
        <v>0.20754088462779574</v>
      </c>
      <c r="AA19" s="217">
        <f t="shared" si="21"/>
        <v>0.25</v>
      </c>
      <c r="AB19" s="217">
        <f t="shared" si="21"/>
        <v>0.64102564102564097</v>
      </c>
      <c r="AC19" s="217">
        <f t="shared" si="21"/>
        <v>0.22727272727272729</v>
      </c>
      <c r="AD19" s="217">
        <f t="shared" si="21"/>
        <v>0.25</v>
      </c>
      <c r="AE19" s="217">
        <f t="shared" si="21"/>
        <v>0.19999999999999996</v>
      </c>
      <c r="AF19" s="217">
        <f t="shared" si="21"/>
        <v>0.1015625</v>
      </c>
      <c r="AG19" s="217">
        <f t="shared" si="21"/>
        <v>0.10370370370370363</v>
      </c>
      <c r="AH19" s="217">
        <f t="shared" si="21"/>
        <v>8.9655172413793061E-2</v>
      </c>
      <c r="AI19" s="217">
        <f t="shared" si="21"/>
        <v>0.19444444444444442</v>
      </c>
      <c r="AJ19" s="217">
        <f t="shared" si="21"/>
        <v>0.31914893617021267</v>
      </c>
      <c r="AK19" s="217">
        <f t="shared" si="21"/>
        <v>0.3087248322147651</v>
      </c>
      <c r="AL19" s="217">
        <f t="shared" si="21"/>
        <v>0.29113924050632911</v>
      </c>
      <c r="AM19" s="217">
        <f t="shared" si="21"/>
        <v>0.22093023255813948</v>
      </c>
      <c r="AN19" s="217">
        <f t="shared" si="21"/>
        <v>0.17204301075268824</v>
      </c>
      <c r="AO19" s="217">
        <f t="shared" si="21"/>
        <v>0.15897435897435908</v>
      </c>
      <c r="AP19" s="217">
        <f t="shared" si="21"/>
        <v>0.21568627450980382</v>
      </c>
      <c r="AQ19" s="217">
        <f t="shared" si="21"/>
        <v>0.22314285714285731</v>
      </c>
      <c r="AR19" s="217">
        <f t="shared" si="21"/>
        <v>0.19641284403669723</v>
      </c>
      <c r="AS19" s="217">
        <f t="shared" si="21"/>
        <v>0.21694247787610621</v>
      </c>
      <c r="AT19" s="217">
        <f t="shared" si="21"/>
        <v>0.20586290322580636</v>
      </c>
      <c r="AU19" s="217">
        <f t="shared" ref="AU19:AU21" si="22">AU15/AQ15-1</f>
        <v>0.1538853850346491</v>
      </c>
      <c r="AV19" s="217">
        <f t="shared" ref="AV19:AV21" si="23">AV15/AR15-1</f>
        <v>0.17110398822167183</v>
      </c>
      <c r="BK19" s="217"/>
      <c r="BL19" s="217">
        <f t="shared" ref="BL19:BQ21" si="24">BL15/BK15-1</f>
        <v>0.12606272169359833</v>
      </c>
      <c r="BM19" s="217">
        <f t="shared" si="24"/>
        <v>-4.2499999999999982E-2</v>
      </c>
      <c r="BN19" s="217">
        <f t="shared" si="24"/>
        <v>0.13315926892950403</v>
      </c>
      <c r="BO19" s="217">
        <f t="shared" si="24"/>
        <v>0.74423963133640547</v>
      </c>
      <c r="BP19" s="217">
        <f t="shared" si="24"/>
        <v>0.19154557463672384</v>
      </c>
      <c r="BQ19" s="217">
        <f t="shared" si="24"/>
        <v>0.21037804878048783</v>
      </c>
    </row>
    <row r="20" spans="2:119" ht="13.5" customHeight="1">
      <c r="B20" s="239" t="s">
        <v>286</v>
      </c>
      <c r="S20" s="217"/>
      <c r="T20" s="217"/>
      <c r="U20" s="217"/>
      <c r="V20" s="217"/>
      <c r="W20" s="217">
        <f t="shared" si="21"/>
        <v>-0.10729838007315795</v>
      </c>
      <c r="X20" s="217">
        <f t="shared" si="21"/>
        <v>-0.43546532293474394</v>
      </c>
      <c r="Y20" s="217">
        <f t="shared" si="21"/>
        <v>-0.16717448710136096</v>
      </c>
      <c r="Z20" s="217">
        <f t="shared" si="21"/>
        <v>3.6627505183136844E-2</v>
      </c>
      <c r="AA20" s="217">
        <f t="shared" si="21"/>
        <v>0.19512195121951215</v>
      </c>
      <c r="AB20" s="217">
        <f t="shared" si="21"/>
        <v>1.074074074074074</v>
      </c>
      <c r="AC20" s="217">
        <f t="shared" si="21"/>
        <v>0.34146341463414642</v>
      </c>
      <c r="AD20" s="217">
        <f t="shared" si="21"/>
        <v>0.17647058823529416</v>
      </c>
      <c r="AE20" s="217">
        <f t="shared" si="21"/>
        <v>0.22448979591836737</v>
      </c>
      <c r="AF20" s="217">
        <f t="shared" si="21"/>
        <v>0.1964285714285714</v>
      </c>
      <c r="AG20" s="217">
        <f t="shared" si="21"/>
        <v>0.18181818181818188</v>
      </c>
      <c r="AH20" s="217">
        <f t="shared" si="21"/>
        <v>5.0000000000000044E-2</v>
      </c>
      <c r="AI20" s="217">
        <f t="shared" si="21"/>
        <v>0.14999999999999991</v>
      </c>
      <c r="AJ20" s="217">
        <f t="shared" si="21"/>
        <v>0.11940298507462677</v>
      </c>
      <c r="AK20" s="217">
        <f t="shared" si="21"/>
        <v>0.1692307692307693</v>
      </c>
      <c r="AL20" s="217">
        <f t="shared" si="21"/>
        <v>0.28571428571428581</v>
      </c>
      <c r="AM20" s="217">
        <f t="shared" si="21"/>
        <v>0</v>
      </c>
      <c r="AN20" s="217">
        <f t="shared" si="21"/>
        <v>8.0000000000000071E-2</v>
      </c>
      <c r="AO20" s="217">
        <f t="shared" si="21"/>
        <v>1.3157894736842035E-2</v>
      </c>
      <c r="AP20" s="217">
        <f t="shared" si="21"/>
        <v>-0.19753086419753085</v>
      </c>
      <c r="AQ20" s="217">
        <f t="shared" si="21"/>
        <v>-2.492753623188404E-2</v>
      </c>
      <c r="AR20" s="217">
        <f t="shared" si="21"/>
        <v>-2.9172839506172887E-2</v>
      </c>
      <c r="AS20" s="217">
        <f t="shared" si="21"/>
        <v>3.4493506493506576E-2</v>
      </c>
      <c r="AT20" s="217">
        <f t="shared" si="21"/>
        <v>0.32816923076923055</v>
      </c>
      <c r="AU20" s="217">
        <f t="shared" si="22"/>
        <v>0.16484839476813318</v>
      </c>
      <c r="AV20" s="217">
        <f t="shared" si="23"/>
        <v>7.5842160814883597E-2</v>
      </c>
      <c r="BK20" s="217"/>
      <c r="BL20" s="217">
        <f t="shared" si="24"/>
        <v>-0.16746018118147821</v>
      </c>
      <c r="BM20" s="217">
        <f t="shared" si="24"/>
        <v>0</v>
      </c>
      <c r="BN20" s="217">
        <f t="shared" si="24"/>
        <v>0.19999999999999996</v>
      </c>
      <c r="BO20" s="217">
        <f t="shared" si="24"/>
        <v>0.56770833333333326</v>
      </c>
      <c r="BP20" s="217">
        <f t="shared" si="24"/>
        <v>-2.9900332225913595E-2</v>
      </c>
      <c r="BQ20" s="217">
        <f t="shared" si="24"/>
        <v>6.8164383561643893E-2</v>
      </c>
    </row>
    <row r="21" spans="2:119" ht="13.5" customHeight="1">
      <c r="B21" s="204" t="s">
        <v>278</v>
      </c>
      <c r="S21" s="217"/>
      <c r="T21" s="217"/>
      <c r="U21" s="217"/>
      <c r="V21" s="217"/>
      <c r="W21" s="217">
        <f t="shared" si="21"/>
        <v>6.6654209391228569E-2</v>
      </c>
      <c r="X21" s="217">
        <f t="shared" si="21"/>
        <v>-0.21759152316301666</v>
      </c>
      <c r="Y21" s="217">
        <f t="shared" si="21"/>
        <v>8.2421757394159245E-2</v>
      </c>
      <c r="Z21" s="217">
        <f t="shared" si="21"/>
        <v>0.14965475936417838</v>
      </c>
      <c r="AA21" s="217">
        <f t="shared" si="21"/>
        <v>0.23357664233576636</v>
      </c>
      <c r="AB21" s="217">
        <f t="shared" si="21"/>
        <v>0.75238095238095237</v>
      </c>
      <c r="AC21" s="217">
        <f t="shared" si="21"/>
        <v>0.25827814569536423</v>
      </c>
      <c r="AD21" s="217">
        <f t="shared" si="21"/>
        <v>0.22754491017964074</v>
      </c>
      <c r="AE21" s="217">
        <f t="shared" si="21"/>
        <v>0.20710059171597628</v>
      </c>
      <c r="AF21" s="217">
        <f t="shared" si="21"/>
        <v>0.13043478260869557</v>
      </c>
      <c r="AG21" s="217">
        <f t="shared" si="21"/>
        <v>0.12631578947368416</v>
      </c>
      <c r="AH21" s="217">
        <f t="shared" si="21"/>
        <v>7.8048780487804947E-2</v>
      </c>
      <c r="AI21" s="217">
        <f t="shared" si="21"/>
        <v>0.18137254901960786</v>
      </c>
      <c r="AJ21" s="217">
        <f t="shared" si="21"/>
        <v>0.25480769230769229</v>
      </c>
      <c r="AK21" s="217">
        <f t="shared" si="21"/>
        <v>0.26635514018691597</v>
      </c>
      <c r="AL21" s="217">
        <f t="shared" si="21"/>
        <v>0.28959276018099556</v>
      </c>
      <c r="AM21" s="217">
        <f t="shared" si="21"/>
        <v>0.15767634854771795</v>
      </c>
      <c r="AN21" s="217">
        <f t="shared" si="21"/>
        <v>0.14559386973180066</v>
      </c>
      <c r="AO21" s="217">
        <f t="shared" si="21"/>
        <v>0.11808118081180807</v>
      </c>
      <c r="AP21" s="217">
        <f t="shared" si="21"/>
        <v>9.8245614035087803E-2</v>
      </c>
      <c r="AQ21" s="217">
        <f t="shared" si="21"/>
        <v>0.16179211469534049</v>
      </c>
      <c r="AR21" s="217">
        <f t="shared" si="21"/>
        <v>0.13530100334448147</v>
      </c>
      <c r="AS21" s="217">
        <f t="shared" si="21"/>
        <v>0.17057755775577554</v>
      </c>
      <c r="AT21" s="217">
        <f t="shared" si="21"/>
        <v>0.23126198083067084</v>
      </c>
      <c r="AU21" s="217">
        <f t="shared" si="22"/>
        <v>0.15616091812179911</v>
      </c>
      <c r="AV21" s="217">
        <f t="shared" si="23"/>
        <v>0.14903595469208009</v>
      </c>
      <c r="BK21" s="217"/>
      <c r="BL21" s="217">
        <f t="shared" si="24"/>
        <v>2.3012296242439279E-2</v>
      </c>
      <c r="BM21" s="217">
        <f t="shared" si="24"/>
        <v>0.33571428571428563</v>
      </c>
      <c r="BN21" s="217">
        <f t="shared" si="24"/>
        <v>0.13235294117647056</v>
      </c>
      <c r="BO21" s="217">
        <f t="shared" si="24"/>
        <v>0.2491145218417945</v>
      </c>
      <c r="BP21" s="217">
        <f t="shared" si="24"/>
        <v>0.12854442344045358</v>
      </c>
      <c r="BQ21" s="217">
        <f t="shared" si="24"/>
        <v>0.17559882747068678</v>
      </c>
    </row>
    <row r="22" spans="2:119" ht="13.5" customHeight="1">
      <c r="AQ22" s="204"/>
      <c r="AR22" s="204"/>
      <c r="AS22" s="210"/>
      <c r="AT22" s="204"/>
      <c r="AU22" s="204"/>
      <c r="AV22" s="204"/>
    </row>
    <row r="23" spans="2:119" ht="13.5" customHeight="1">
      <c r="B23" s="239" t="s">
        <v>283</v>
      </c>
      <c r="S23" s="217">
        <f t="shared" ref="S23:AS23" si="25">S15/S17</f>
        <v>0.64241390854802671</v>
      </c>
      <c r="T23" s="217">
        <f t="shared" si="25"/>
        <v>0.64361666455540567</v>
      </c>
      <c r="U23" s="217">
        <f t="shared" si="25"/>
        <v>0.64710183366546714</v>
      </c>
      <c r="V23" s="217">
        <f t="shared" si="25"/>
        <v>0.66131308472335992</v>
      </c>
      <c r="W23" s="217">
        <f t="shared" si="25"/>
        <v>0.7007299270072993</v>
      </c>
      <c r="X23" s="217">
        <f t="shared" si="25"/>
        <v>0.74285714285714288</v>
      </c>
      <c r="Y23" s="217">
        <f t="shared" si="25"/>
        <v>0.72847682119205293</v>
      </c>
      <c r="Z23" s="217">
        <f t="shared" si="25"/>
        <v>0.69461077844311381</v>
      </c>
      <c r="AA23" s="217">
        <f t="shared" si="25"/>
        <v>0.7100591715976331</v>
      </c>
      <c r="AB23" s="217">
        <f t="shared" si="25"/>
        <v>0.69565217391304346</v>
      </c>
      <c r="AC23" s="217">
        <f t="shared" si="25"/>
        <v>0.71052631578947367</v>
      </c>
      <c r="AD23" s="217">
        <f t="shared" si="25"/>
        <v>0.70731707317073167</v>
      </c>
      <c r="AE23" s="217">
        <f t="shared" si="25"/>
        <v>0.70588235294117652</v>
      </c>
      <c r="AF23" s="217">
        <f t="shared" si="25"/>
        <v>0.67788461538461542</v>
      </c>
      <c r="AG23" s="217">
        <f t="shared" si="25"/>
        <v>0.69626168224299068</v>
      </c>
      <c r="AH23" s="217">
        <f t="shared" si="25"/>
        <v>0.71493212669683259</v>
      </c>
      <c r="AI23" s="217">
        <f t="shared" si="25"/>
        <v>0.7136929460580913</v>
      </c>
      <c r="AJ23" s="217">
        <f t="shared" si="25"/>
        <v>0.71264367816091956</v>
      </c>
      <c r="AK23" s="217">
        <f t="shared" si="25"/>
        <v>0.71955719557195574</v>
      </c>
      <c r="AL23" s="217">
        <f t="shared" si="25"/>
        <v>0.71578947368421053</v>
      </c>
      <c r="AM23" s="217">
        <f t="shared" si="25"/>
        <v>0.75268817204301075</v>
      </c>
      <c r="AN23" s="217">
        <f t="shared" si="25"/>
        <v>0.72909698996655514</v>
      </c>
      <c r="AO23" s="217">
        <f t="shared" si="25"/>
        <v>0.74587458745874591</v>
      </c>
      <c r="AP23" s="217">
        <f t="shared" si="25"/>
        <v>0.792332268370607</v>
      </c>
      <c r="AQ23" s="217">
        <f t="shared" si="25"/>
        <v>0.79243536743382492</v>
      </c>
      <c r="AR23" s="217">
        <f t="shared" si="25"/>
        <v>0.7683433739376353</v>
      </c>
      <c r="AS23" s="217">
        <f t="shared" si="25"/>
        <v>0.7754176240889803</v>
      </c>
      <c r="AT23" s="217">
        <f t="shared" ref="AT23:AV23" si="26">AT15/AT17</f>
        <v>0.77598764871492143</v>
      </c>
      <c r="AU23" s="217">
        <f t="shared" si="26"/>
        <v>0.79087571179267691</v>
      </c>
      <c r="AV23" s="217">
        <f t="shared" si="26"/>
        <v>0.78309994205811617</v>
      </c>
      <c r="BK23" s="217">
        <f t="shared" ref="BK23:BP23" si="27">BK15/BK17</f>
        <v>0.64891862119864163</v>
      </c>
      <c r="BL23" s="217">
        <f t="shared" si="27"/>
        <v>0.7142857142857143</v>
      </c>
      <c r="BM23" s="217">
        <f t="shared" si="27"/>
        <v>0.51203208556149737</v>
      </c>
      <c r="BN23" s="217">
        <f t="shared" si="27"/>
        <v>0.51239669421487599</v>
      </c>
      <c r="BO23" s="217">
        <f t="shared" si="27"/>
        <v>0.71550094517958407</v>
      </c>
      <c r="BP23" s="217">
        <f t="shared" si="27"/>
        <v>0.75544388609715241</v>
      </c>
      <c r="BQ23" s="217">
        <f t="shared" ref="BQ23" si="28">BQ15/BQ17</f>
        <v>0.77779313440172693</v>
      </c>
    </row>
    <row r="24" spans="2:119" ht="13.5" customHeight="1">
      <c r="B24" s="239" t="s">
        <v>284</v>
      </c>
      <c r="S24" s="217">
        <f t="shared" ref="S24:AS24" si="29">S16/S17</f>
        <v>0.35758609145197329</v>
      </c>
      <c r="T24" s="217">
        <f t="shared" si="29"/>
        <v>0.35638333544459433</v>
      </c>
      <c r="U24" s="217">
        <f t="shared" si="29"/>
        <v>0.3528981663345328</v>
      </c>
      <c r="V24" s="217">
        <f t="shared" si="29"/>
        <v>0.33868691527664002</v>
      </c>
      <c r="W24" s="217">
        <f t="shared" si="29"/>
        <v>0.29927007299270075</v>
      </c>
      <c r="X24" s="217">
        <f t="shared" si="29"/>
        <v>0.25714285714285712</v>
      </c>
      <c r="Y24" s="217">
        <f t="shared" si="29"/>
        <v>0.27152317880794702</v>
      </c>
      <c r="Z24" s="217">
        <f t="shared" si="29"/>
        <v>0.30538922155688625</v>
      </c>
      <c r="AA24" s="217">
        <f t="shared" si="29"/>
        <v>0.28994082840236685</v>
      </c>
      <c r="AB24" s="217">
        <f t="shared" si="29"/>
        <v>0.30434782608695654</v>
      </c>
      <c r="AC24" s="217">
        <f t="shared" si="29"/>
        <v>0.28947368421052633</v>
      </c>
      <c r="AD24" s="217">
        <f t="shared" si="29"/>
        <v>0.29268292682926828</v>
      </c>
      <c r="AE24" s="217">
        <f t="shared" si="29"/>
        <v>0.29411764705882354</v>
      </c>
      <c r="AF24" s="217">
        <f t="shared" si="29"/>
        <v>0.32211538461538464</v>
      </c>
      <c r="AG24" s="217">
        <f t="shared" si="29"/>
        <v>0.30373831775700932</v>
      </c>
      <c r="AH24" s="217">
        <f t="shared" si="29"/>
        <v>0.28506787330316741</v>
      </c>
      <c r="AI24" s="217">
        <f t="shared" si="29"/>
        <v>0.2863070539419087</v>
      </c>
      <c r="AJ24" s="217">
        <f t="shared" si="29"/>
        <v>0.28735632183908044</v>
      </c>
      <c r="AK24" s="217">
        <f t="shared" si="29"/>
        <v>0.28044280442804426</v>
      </c>
      <c r="AL24" s="217">
        <f t="shared" si="29"/>
        <v>0.28421052631578947</v>
      </c>
      <c r="AM24" s="217">
        <f t="shared" si="29"/>
        <v>0.24731182795698925</v>
      </c>
      <c r="AN24" s="217">
        <f t="shared" si="29"/>
        <v>0.2709030100334448</v>
      </c>
      <c r="AO24" s="217">
        <f t="shared" si="29"/>
        <v>0.25412541254125415</v>
      </c>
      <c r="AP24" s="217">
        <f t="shared" si="29"/>
        <v>0.20766773162939298</v>
      </c>
      <c r="AQ24" s="217">
        <f t="shared" si="29"/>
        <v>0.20756463256617513</v>
      </c>
      <c r="AR24" s="217">
        <f t="shared" si="29"/>
        <v>0.23165662606236467</v>
      </c>
      <c r="AS24" s="217">
        <f t="shared" si="29"/>
        <v>0.22458237591101965</v>
      </c>
      <c r="AT24" s="217">
        <f t="shared" ref="AT24:AV24" si="30">AT16/AT17</f>
        <v>0.22401235128507854</v>
      </c>
      <c r="AU24" s="217">
        <f t="shared" si="30"/>
        <v>0.20912428820732312</v>
      </c>
      <c r="AV24" s="217">
        <f t="shared" si="30"/>
        <v>0.21690005794188377</v>
      </c>
      <c r="BK24" s="217">
        <f t="shared" ref="BK24:BP24" si="31">BK16/BK17</f>
        <v>0.35108137880135842</v>
      </c>
      <c r="BL24" s="217">
        <f t="shared" si="31"/>
        <v>0.2857142857142857</v>
      </c>
      <c r="BM24" s="217">
        <f t="shared" si="31"/>
        <v>0.21390374331550802</v>
      </c>
      <c r="BN24" s="217">
        <f t="shared" si="31"/>
        <v>0.22668240850059032</v>
      </c>
      <c r="BO24" s="217">
        <f t="shared" si="31"/>
        <v>0.28449905482041588</v>
      </c>
      <c r="BP24" s="217">
        <f t="shared" si="31"/>
        <v>0.24455611390284757</v>
      </c>
      <c r="BQ24" s="217">
        <f t="shared" ref="BQ24" si="32">BQ16/BQ17</f>
        <v>0.2222068655982731</v>
      </c>
    </row>
    <row r="25" spans="2:119" ht="13.5" customHeight="1">
      <c r="B25" s="239"/>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BK25" s="217"/>
      <c r="BL25" s="217"/>
      <c r="BM25" s="217"/>
      <c r="BN25" s="217"/>
      <c r="BO25" s="217"/>
      <c r="BP25" s="217"/>
      <c r="BQ25" s="217"/>
    </row>
    <row r="26" spans="2:119" s="210" customFormat="1" ht="13.5" customHeight="1">
      <c r="B26" s="210" t="s">
        <v>273</v>
      </c>
      <c r="C26" s="206">
        <v>39</v>
      </c>
      <c r="D26" s="206">
        <v>42.3</v>
      </c>
      <c r="E26" s="206">
        <v>50.4</v>
      </c>
      <c r="F26" s="206">
        <v>54.4</v>
      </c>
      <c r="G26" s="206">
        <v>57.9</v>
      </c>
      <c r="H26" s="206">
        <v>65.099999999999994</v>
      </c>
      <c r="I26" s="206">
        <v>67.2</v>
      </c>
      <c r="J26" s="206">
        <v>73.099999999999994</v>
      </c>
      <c r="K26" s="206">
        <v>73.2</v>
      </c>
      <c r="L26" s="206">
        <v>80.599999999999994</v>
      </c>
      <c r="M26" s="206">
        <v>83.9</v>
      </c>
      <c r="N26" s="206">
        <v>96.1</v>
      </c>
      <c r="O26" s="206">
        <v>102.7</v>
      </c>
      <c r="P26" s="206">
        <v>109.6</v>
      </c>
      <c r="Q26" s="206">
        <v>111.8</v>
      </c>
      <c r="R26" s="206">
        <v>120.8</v>
      </c>
      <c r="S26" s="206">
        <f>S17</f>
        <v>128.43899999999999</v>
      </c>
      <c r="T26" s="206">
        <f>T17</f>
        <v>134.20099999999999</v>
      </c>
      <c r="U26" s="206">
        <f>U17</f>
        <v>139.50200000000001</v>
      </c>
      <c r="V26" s="206">
        <f>V17</f>
        <v>145.26100000000008</v>
      </c>
      <c r="W26" s="206">
        <v>137.30000000000001</v>
      </c>
      <c r="X26" s="206">
        <v>105.1</v>
      </c>
      <c r="Y26" s="206">
        <v>151.1</v>
      </c>
      <c r="Z26" s="206">
        <f>560.412-SUM(W26:Y26)</f>
        <v>166.91200000000003</v>
      </c>
      <c r="AA26" s="206">
        <v>169.2</v>
      </c>
      <c r="AB26" s="206">
        <v>184.3</v>
      </c>
      <c r="AC26" s="206">
        <v>190.1</v>
      </c>
      <c r="AD26" s="206">
        <f>747.59-SUM(AA26:AC26)</f>
        <v>203.99</v>
      </c>
      <c r="AE26" s="206">
        <v>203.9</v>
      </c>
      <c r="AF26" s="206">
        <v>208.3</v>
      </c>
      <c r="AG26" s="206">
        <v>213.7</v>
      </c>
      <c r="AH26" s="206">
        <f>847.133-SUM(AE26:AG26)</f>
        <v>221.23299999999995</v>
      </c>
      <c r="AI26" s="206">
        <v>241.4</v>
      </c>
      <c r="AJ26" s="206">
        <v>261.5</v>
      </c>
      <c r="AK26" s="206">
        <v>270.89999999999998</v>
      </c>
      <c r="AL26" s="206">
        <f>1058.52-SUM(AI26:AK26)</f>
        <v>284.72000000000003</v>
      </c>
      <c r="AM26" s="206">
        <v>278.7</v>
      </c>
      <c r="AN26" s="206">
        <v>299.39999999999998</v>
      </c>
      <c r="AO26" s="206">
        <v>301</v>
      </c>
      <c r="AP26" s="206">
        <f>1194.6-SUM(AM26:AO26)</f>
        <v>315.5</v>
      </c>
      <c r="AQ26" s="206">
        <f>AQ17</f>
        <v>324.14</v>
      </c>
      <c r="AR26" s="206">
        <f>AR17</f>
        <v>339.45499999999998</v>
      </c>
      <c r="AS26" s="206">
        <f>AS17</f>
        <v>354.685</v>
      </c>
      <c r="AT26" s="206">
        <f>1403.665-SUM(AQ26:AS26)</f>
        <v>385.38499999999999</v>
      </c>
      <c r="AU26" s="206">
        <f t="shared" ref="AU26:AV26" si="33">AU17</f>
        <v>374.75799999999998</v>
      </c>
      <c r="AV26" s="206">
        <f t="shared" si="33"/>
        <v>390.04599999999999</v>
      </c>
      <c r="AW26" s="224">
        <f>AW6</f>
        <v>422.97025000000002</v>
      </c>
      <c r="AX26" s="224">
        <f>AX6</f>
        <v>458.9142599999999</v>
      </c>
      <c r="AY26" s="208"/>
      <c r="AZ26" s="208"/>
      <c r="BA26" s="208"/>
      <c r="BB26" s="208"/>
      <c r="BG26" s="206">
        <f t="shared" ref="BG26:BG39" si="34">SUM(C26:F26)</f>
        <v>186.1</v>
      </c>
      <c r="BH26" s="206">
        <f t="shared" ref="BH26:BH39" si="35">SUM(G26:J26)</f>
        <v>263.29999999999995</v>
      </c>
      <c r="BI26" s="206">
        <f t="shared" ref="BI26:BI39" si="36">SUM(K26:N26)</f>
        <v>333.8</v>
      </c>
      <c r="BJ26" s="206">
        <f t="shared" ref="BJ26:BJ39" si="37">SUM(O26:R26)</f>
        <v>444.90000000000003</v>
      </c>
      <c r="BK26" s="206">
        <f>SUM(S26:V26)</f>
        <v>547.40300000000002</v>
      </c>
      <c r="BL26" s="206">
        <f>SUM(W26:Z26)</f>
        <v>560.41200000000003</v>
      </c>
      <c r="BM26" s="206">
        <f>SUM(AA26:AD26)</f>
        <v>747.59</v>
      </c>
      <c r="BN26" s="206">
        <f>SUM(AE26:AH26)</f>
        <v>847.13300000000004</v>
      </c>
      <c r="BO26" s="206">
        <f>SUM(AI26:AL26)</f>
        <v>1058.52</v>
      </c>
      <c r="BP26" s="206">
        <f>SUM(AM26:AP26)</f>
        <v>1194.5999999999999</v>
      </c>
      <c r="BQ26" s="206">
        <f t="shared" ref="BQ26:BQ41" si="38">SUM(AQ26:AT26)</f>
        <v>1403.665</v>
      </c>
      <c r="BR26" s="224">
        <f t="shared" ref="BR26:CA26" si="39">BR6</f>
        <v>1647.3918800000001</v>
      </c>
      <c r="BS26" s="224">
        <f t="shared" si="39"/>
        <v>1978.3715506000001</v>
      </c>
      <c r="BT26" s="224">
        <f t="shared" si="39"/>
        <v>2351.2719213660002</v>
      </c>
      <c r="BU26" s="224">
        <f t="shared" si="39"/>
        <v>2741.2069093169102</v>
      </c>
      <c r="BV26" s="224">
        <f t="shared" si="39"/>
        <v>3152.8744701755372</v>
      </c>
      <c r="BW26" s="224">
        <f t="shared" si="39"/>
        <v>3589.0242424347398</v>
      </c>
      <c r="BX26" s="224">
        <f t="shared" si="39"/>
        <v>4053.6029243935568</v>
      </c>
      <c r="BY26" s="224">
        <f t="shared" si="39"/>
        <v>4542.1681325938134</v>
      </c>
      <c r="BZ26" s="224">
        <f t="shared" si="39"/>
        <v>5066.4555551257636</v>
      </c>
      <c r="CA26" s="224">
        <f t="shared" si="39"/>
        <v>5626.2530299709788</v>
      </c>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c r="CY26" s="208"/>
      <c r="CZ26" s="208"/>
      <c r="DA26" s="208"/>
      <c r="DB26" s="208"/>
      <c r="DC26" s="208"/>
      <c r="DD26" s="208"/>
      <c r="DE26" s="208"/>
      <c r="DF26" s="208"/>
      <c r="DG26" s="208"/>
      <c r="DH26" s="208"/>
      <c r="DI26" s="208"/>
      <c r="DJ26" s="208"/>
      <c r="DK26" s="208"/>
      <c r="DL26" s="208"/>
      <c r="DM26" s="208"/>
      <c r="DN26" s="208"/>
      <c r="DO26" s="208"/>
    </row>
    <row r="27" spans="2:119" ht="13.5" customHeight="1">
      <c r="B27" s="204" t="s">
        <v>535</v>
      </c>
      <c r="C27" s="223">
        <v>12.2</v>
      </c>
      <c r="D27" s="223">
        <v>14.9</v>
      </c>
      <c r="E27" s="223">
        <v>16.899999999999999</v>
      </c>
      <c r="F27" s="223">
        <v>18</v>
      </c>
      <c r="G27" s="223">
        <v>18</v>
      </c>
      <c r="H27" s="223">
        <v>23.6</v>
      </c>
      <c r="I27" s="223">
        <v>24.3</v>
      </c>
      <c r="J27" s="223">
        <v>26.5</v>
      </c>
      <c r="K27" s="223">
        <v>25.5</v>
      </c>
      <c r="L27" s="223">
        <v>29.7</v>
      </c>
      <c r="M27" s="223">
        <v>29.1</v>
      </c>
      <c r="N27" s="223">
        <v>32.299999999999997</v>
      </c>
      <c r="O27" s="223">
        <v>36.1</v>
      </c>
      <c r="P27" s="223">
        <v>37.4</v>
      </c>
      <c r="Q27" s="223">
        <v>36.799999999999997</v>
      </c>
      <c r="R27" s="223">
        <v>42.1</v>
      </c>
      <c r="S27" s="223">
        <v>44.529000000000003</v>
      </c>
      <c r="T27" s="223">
        <v>40.273000000000003</v>
      </c>
      <c r="U27" s="223">
        <v>43.503999999999998</v>
      </c>
      <c r="V27" s="223">
        <f>175.441-SUM(S27:U27)</f>
        <v>47.134999999999991</v>
      </c>
      <c r="W27" s="223">
        <v>49.3</v>
      </c>
      <c r="X27" s="223">
        <v>40.200000000000003</v>
      </c>
      <c r="Y27" s="223">
        <v>60.152999999999999</v>
      </c>
      <c r="Z27" s="223">
        <f>222.237-SUM(W27:Y27)</f>
        <v>72.584000000000003</v>
      </c>
      <c r="AA27" s="223">
        <v>57.866999999999997</v>
      </c>
      <c r="AB27" s="223">
        <v>65.599999999999994</v>
      </c>
      <c r="AC27" s="223">
        <v>70.2</v>
      </c>
      <c r="AD27" s="223">
        <f>272.208-SUM(AA27:AC27)</f>
        <v>78.541000000000054</v>
      </c>
      <c r="AE27" s="223">
        <v>76.5</v>
      </c>
      <c r="AF27" s="223">
        <v>74.3</v>
      </c>
      <c r="AG27" s="223">
        <v>78.400000000000006</v>
      </c>
      <c r="AH27" s="223">
        <f>311.926-SUM(AE27:AG27)</f>
        <v>82.725999999999971</v>
      </c>
      <c r="AI27" s="223">
        <v>90.3</v>
      </c>
      <c r="AJ27" s="223">
        <v>94.6</v>
      </c>
      <c r="AK27" s="223">
        <v>93.2</v>
      </c>
      <c r="AL27" s="223">
        <f>375.9-SUM(AI27:AK27)</f>
        <v>97.800000000000011</v>
      </c>
      <c r="AM27" s="223">
        <v>97.5</v>
      </c>
      <c r="AN27" s="223">
        <v>136.6</v>
      </c>
      <c r="AO27" s="223">
        <v>100.7</v>
      </c>
      <c r="AP27" s="223">
        <f>439.6-SUM(AM27:AO27)</f>
        <v>104.80000000000001</v>
      </c>
      <c r="AQ27" s="223">
        <v>108.25700000000001</v>
      </c>
      <c r="AR27" s="223">
        <v>115.44499999999999</v>
      </c>
      <c r="AS27" s="223">
        <v>114.26900000000001</v>
      </c>
      <c r="AT27" s="223">
        <f>461.228-SUM(AQ27:AS27)</f>
        <v>123.25700000000001</v>
      </c>
      <c r="AU27" s="223">
        <v>121.34699999999999</v>
      </c>
      <c r="AV27" s="223">
        <v>125.102</v>
      </c>
      <c r="AW27" s="225">
        <f>AW26*(1-AW43)</f>
        <v>130.27483700000002</v>
      </c>
      <c r="AX27" s="225">
        <f>AX26*(1-AX43)</f>
        <v>137.67427799999999</v>
      </c>
      <c r="AY27" s="209"/>
      <c r="BG27" s="223">
        <f t="shared" si="34"/>
        <v>62</v>
      </c>
      <c r="BH27" s="223">
        <f t="shared" si="35"/>
        <v>92.4</v>
      </c>
      <c r="BI27" s="223">
        <f t="shared" si="36"/>
        <v>116.60000000000001</v>
      </c>
      <c r="BJ27" s="223">
        <f t="shared" si="37"/>
        <v>152.4</v>
      </c>
      <c r="BK27" s="223">
        <f>SUM(S27:V27)</f>
        <v>175.441</v>
      </c>
      <c r="BL27" s="223">
        <f>SUM(W27:Z27)</f>
        <v>222.23699999999999</v>
      </c>
      <c r="BM27" s="223">
        <f>SUM(AA27:AD27)</f>
        <v>272.20800000000003</v>
      </c>
      <c r="BN27" s="223">
        <f>SUM(AE27:AH27)</f>
        <v>311.92599999999999</v>
      </c>
      <c r="BO27" s="223">
        <f>SUM(AI27:AL27)</f>
        <v>375.9</v>
      </c>
      <c r="BP27" s="223">
        <f>SUM(AM27:AP27)</f>
        <v>439.6</v>
      </c>
      <c r="BQ27" s="223">
        <f t="shared" si="38"/>
        <v>461.22800000000001</v>
      </c>
      <c r="BR27" s="225">
        <f t="shared" ref="BR27:CA27" si="40">BR26*(1-BR43)</f>
        <v>535.40236099999993</v>
      </c>
      <c r="BS27" s="225">
        <f t="shared" si="40"/>
        <v>609.33843758480009</v>
      </c>
      <c r="BT27" s="225">
        <f t="shared" si="40"/>
        <v>698.32776064570214</v>
      </c>
      <c r="BU27" s="225">
        <f t="shared" si="40"/>
        <v>794.95000370190405</v>
      </c>
      <c r="BV27" s="225">
        <f t="shared" si="40"/>
        <v>898.56922400002816</v>
      </c>
      <c r="BW27" s="225">
        <f t="shared" si="40"/>
        <v>1004.9267878817273</v>
      </c>
      <c r="BX27" s="225">
        <f t="shared" si="40"/>
        <v>1114.7408042082282</v>
      </c>
      <c r="BY27" s="225">
        <f t="shared" si="40"/>
        <v>1226.3853958003297</v>
      </c>
      <c r="BZ27" s="225">
        <f t="shared" si="40"/>
        <v>1342.6107221083273</v>
      </c>
      <c r="CA27" s="225">
        <f t="shared" si="40"/>
        <v>1462.8257877924545</v>
      </c>
      <c r="CB27" s="225"/>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c r="CY27" s="225"/>
      <c r="CZ27" s="225"/>
      <c r="DA27" s="225"/>
      <c r="DB27" s="225"/>
      <c r="DC27" s="225"/>
      <c r="DD27" s="225"/>
      <c r="DE27" s="225"/>
      <c r="DF27" s="225"/>
      <c r="DG27" s="225"/>
      <c r="DH27" s="225"/>
      <c r="DI27" s="225"/>
      <c r="DJ27" s="225"/>
      <c r="DK27" s="225"/>
      <c r="DL27" s="225"/>
      <c r="DM27" s="225"/>
      <c r="DN27" s="225"/>
      <c r="DO27" s="225"/>
    </row>
    <row r="28" spans="2:119" ht="13.5" customHeight="1">
      <c r="B28" s="204" t="s">
        <v>287</v>
      </c>
      <c r="C28" s="205">
        <f t="shared" ref="C28:AN28" si="41">C26-C27</f>
        <v>26.8</v>
      </c>
      <c r="D28" s="205">
        <f t="shared" si="41"/>
        <v>27.4</v>
      </c>
      <c r="E28" s="205">
        <f t="shared" si="41"/>
        <v>33.5</v>
      </c>
      <c r="F28" s="205">
        <f t="shared" si="41"/>
        <v>36.4</v>
      </c>
      <c r="G28" s="205">
        <f t="shared" si="41"/>
        <v>39.9</v>
      </c>
      <c r="H28" s="205">
        <f t="shared" si="41"/>
        <v>41.499999999999993</v>
      </c>
      <c r="I28" s="205">
        <f t="shared" si="41"/>
        <v>42.900000000000006</v>
      </c>
      <c r="J28" s="205">
        <f t="shared" si="41"/>
        <v>46.599999999999994</v>
      </c>
      <c r="K28" s="205">
        <f t="shared" si="41"/>
        <v>47.7</v>
      </c>
      <c r="L28" s="205">
        <f t="shared" si="41"/>
        <v>50.899999999999991</v>
      </c>
      <c r="M28" s="205">
        <f t="shared" si="41"/>
        <v>54.800000000000004</v>
      </c>
      <c r="N28" s="205">
        <f t="shared" si="41"/>
        <v>63.8</v>
      </c>
      <c r="O28" s="205">
        <f t="shared" si="41"/>
        <v>66.599999999999994</v>
      </c>
      <c r="P28" s="205">
        <f t="shared" si="41"/>
        <v>72.199999999999989</v>
      </c>
      <c r="Q28" s="205">
        <f t="shared" si="41"/>
        <v>75</v>
      </c>
      <c r="R28" s="205">
        <f t="shared" si="41"/>
        <v>78.699999999999989</v>
      </c>
      <c r="S28" s="223">
        <f t="shared" si="41"/>
        <v>83.91</v>
      </c>
      <c r="T28" s="223">
        <f t="shared" si="41"/>
        <v>93.927999999999997</v>
      </c>
      <c r="U28" s="223">
        <f t="shared" si="41"/>
        <v>95.998000000000019</v>
      </c>
      <c r="V28" s="223">
        <f t="shared" si="41"/>
        <v>98.12600000000009</v>
      </c>
      <c r="W28" s="223">
        <f t="shared" si="41"/>
        <v>88.000000000000014</v>
      </c>
      <c r="X28" s="223">
        <f t="shared" si="41"/>
        <v>64.899999999999991</v>
      </c>
      <c r="Y28" s="223">
        <f t="shared" si="41"/>
        <v>90.947000000000003</v>
      </c>
      <c r="Z28" s="223">
        <f>Z26-Z27</f>
        <v>94.328000000000031</v>
      </c>
      <c r="AA28" s="223">
        <f t="shared" si="41"/>
        <v>111.333</v>
      </c>
      <c r="AB28" s="223">
        <f t="shared" si="41"/>
        <v>118.70000000000002</v>
      </c>
      <c r="AC28" s="223">
        <f t="shared" si="41"/>
        <v>119.89999999999999</v>
      </c>
      <c r="AD28" s="223">
        <f t="shared" si="41"/>
        <v>125.44899999999996</v>
      </c>
      <c r="AE28" s="223">
        <f t="shared" si="41"/>
        <v>127.4</v>
      </c>
      <c r="AF28" s="223">
        <f t="shared" si="41"/>
        <v>134</v>
      </c>
      <c r="AG28" s="223">
        <f t="shared" si="41"/>
        <v>135.29999999999998</v>
      </c>
      <c r="AH28" s="223">
        <f t="shared" si="41"/>
        <v>138.50699999999998</v>
      </c>
      <c r="AI28" s="223">
        <f t="shared" si="41"/>
        <v>151.10000000000002</v>
      </c>
      <c r="AJ28" s="223">
        <f t="shared" si="41"/>
        <v>166.9</v>
      </c>
      <c r="AK28" s="223">
        <f t="shared" si="41"/>
        <v>177.7</v>
      </c>
      <c r="AL28" s="223">
        <f t="shared" si="41"/>
        <v>186.92000000000002</v>
      </c>
      <c r="AM28" s="223">
        <f t="shared" si="41"/>
        <v>181.2</v>
      </c>
      <c r="AN28" s="223">
        <f t="shared" si="41"/>
        <v>162.79999999999998</v>
      </c>
      <c r="AO28" s="223">
        <f>AO26-AO27</f>
        <v>200.3</v>
      </c>
      <c r="AP28" s="223">
        <f t="shared" ref="AP28" si="42">AP26-AP27</f>
        <v>210.7</v>
      </c>
      <c r="AQ28" s="223">
        <f>AQ26-AQ27</f>
        <v>215.88299999999998</v>
      </c>
      <c r="AR28" s="223">
        <f>AR26-AR27</f>
        <v>224.01</v>
      </c>
      <c r="AS28" s="223">
        <f>AS26-AS27</f>
        <v>240.416</v>
      </c>
      <c r="AT28" s="223">
        <f t="shared" ref="AT28" si="43">AT26-AT27</f>
        <v>262.12799999999999</v>
      </c>
      <c r="AU28" s="223">
        <f t="shared" ref="AU28:AX28" si="44">AU26-AU27</f>
        <v>253.411</v>
      </c>
      <c r="AV28" s="223">
        <f t="shared" si="44"/>
        <v>264.94399999999996</v>
      </c>
      <c r="AW28" s="225">
        <f t="shared" si="44"/>
        <v>292.69541300000003</v>
      </c>
      <c r="AX28" s="225">
        <f t="shared" si="44"/>
        <v>321.23998199999994</v>
      </c>
      <c r="AY28" s="209"/>
      <c r="BG28" s="223">
        <f t="shared" si="34"/>
        <v>124.1</v>
      </c>
      <c r="BH28" s="223">
        <f t="shared" si="35"/>
        <v>170.89999999999998</v>
      </c>
      <c r="BI28" s="223">
        <f t="shared" si="36"/>
        <v>217.2</v>
      </c>
      <c r="BJ28" s="223">
        <f t="shared" si="37"/>
        <v>292.5</v>
      </c>
      <c r="BK28" s="223">
        <f t="shared" ref="BK28:BO28" si="45">BK26-BK27</f>
        <v>371.96199999999999</v>
      </c>
      <c r="BL28" s="223">
        <f t="shared" si="45"/>
        <v>338.17500000000007</v>
      </c>
      <c r="BM28" s="223">
        <f t="shared" si="45"/>
        <v>475.38200000000001</v>
      </c>
      <c r="BN28" s="223">
        <f t="shared" si="45"/>
        <v>535.20700000000011</v>
      </c>
      <c r="BO28" s="223">
        <f t="shared" si="45"/>
        <v>682.62</v>
      </c>
      <c r="BP28" s="223">
        <f>BP26-BP27</f>
        <v>754.99999999999989</v>
      </c>
      <c r="BQ28" s="223">
        <f t="shared" si="38"/>
        <v>942.4369999999999</v>
      </c>
      <c r="BR28" s="225">
        <f t="shared" ref="BR28" si="46">BR26-BR27</f>
        <v>1111.9895190000002</v>
      </c>
      <c r="BS28" s="225">
        <f t="shared" ref="BS28:CA28" si="47">BS26-BS27</f>
        <v>1369.0331130151999</v>
      </c>
      <c r="BT28" s="225">
        <f t="shared" si="47"/>
        <v>1652.944160720298</v>
      </c>
      <c r="BU28" s="225">
        <f t="shared" si="47"/>
        <v>1946.2569056150062</v>
      </c>
      <c r="BV28" s="225">
        <f t="shared" si="47"/>
        <v>2254.3052461755092</v>
      </c>
      <c r="BW28" s="225">
        <f t="shared" si="47"/>
        <v>2584.0974545530125</v>
      </c>
      <c r="BX28" s="225">
        <f t="shared" si="47"/>
        <v>2938.8621201853284</v>
      </c>
      <c r="BY28" s="225">
        <f t="shared" si="47"/>
        <v>3315.7827367934838</v>
      </c>
      <c r="BZ28" s="225">
        <f t="shared" si="47"/>
        <v>3723.844833017436</v>
      </c>
      <c r="CA28" s="225">
        <f t="shared" si="47"/>
        <v>4163.4272421785245</v>
      </c>
      <c r="CB28" s="225"/>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c r="CY28" s="225"/>
      <c r="CZ28" s="225"/>
      <c r="DA28" s="225"/>
      <c r="DB28" s="225"/>
      <c r="DC28" s="225"/>
      <c r="DD28" s="225"/>
      <c r="DE28" s="225"/>
      <c r="DF28" s="225"/>
      <c r="DG28" s="225"/>
      <c r="DH28" s="225"/>
      <c r="DI28" s="225"/>
      <c r="DJ28" s="225"/>
      <c r="DK28" s="225"/>
      <c r="DL28" s="225"/>
      <c r="DM28" s="225"/>
      <c r="DN28" s="225"/>
      <c r="DO28" s="225"/>
    </row>
    <row r="29" spans="2:119" ht="13.5" customHeight="1">
      <c r="B29" s="204" t="s">
        <v>288</v>
      </c>
      <c r="C29" s="223">
        <v>3.2</v>
      </c>
      <c r="D29" s="223">
        <v>4.8</v>
      </c>
      <c r="E29" s="223">
        <v>4.5999999999999996</v>
      </c>
      <c r="F29" s="223">
        <v>5.5</v>
      </c>
      <c r="G29" s="223">
        <v>5</v>
      </c>
      <c r="H29" s="223">
        <v>6.3</v>
      </c>
      <c r="I29" s="223">
        <v>6.5</v>
      </c>
      <c r="J29" s="223">
        <v>6.1</v>
      </c>
      <c r="K29" s="223">
        <v>7</v>
      </c>
      <c r="L29" s="223">
        <v>8.1</v>
      </c>
      <c r="M29" s="223">
        <v>8.1</v>
      </c>
      <c r="N29" s="223">
        <v>8.4</v>
      </c>
      <c r="O29" s="223">
        <v>8</v>
      </c>
      <c r="P29" s="223">
        <v>8.1999999999999993</v>
      </c>
      <c r="Q29" s="223">
        <v>39.9</v>
      </c>
      <c r="R29" s="223">
        <v>10.9</v>
      </c>
      <c r="S29" s="223">
        <v>11.667</v>
      </c>
      <c r="T29" s="223">
        <v>13.462</v>
      </c>
      <c r="U29" s="223">
        <v>13.733000000000001</v>
      </c>
      <c r="V29" s="223">
        <f>51.723-SUM(S29:U29)</f>
        <v>12.861000000000004</v>
      </c>
      <c r="W29" s="223">
        <v>12.946</v>
      </c>
      <c r="X29" s="223">
        <v>22.725000000000001</v>
      </c>
      <c r="Y29" s="223">
        <v>34.923000000000002</v>
      </c>
      <c r="Z29" s="223">
        <f>90.049-SUM(W29:Y29)</f>
        <v>19.455000000000013</v>
      </c>
      <c r="AA29" s="223">
        <v>18.076000000000001</v>
      </c>
      <c r="AB29" s="223">
        <v>17.738</v>
      </c>
      <c r="AC29" s="223">
        <v>16.73</v>
      </c>
      <c r="AD29" s="223">
        <f>104.552-SUM(AA29:AC29)</f>
        <v>52.00800000000001</v>
      </c>
      <c r="AE29" s="223">
        <v>20.56</v>
      </c>
      <c r="AF29" s="223">
        <v>19.559000000000001</v>
      </c>
      <c r="AG29" s="223">
        <v>21.32</v>
      </c>
      <c r="AH29" s="223">
        <f>79.407-SUM(AE29:AG29)</f>
        <v>17.967999999999996</v>
      </c>
      <c r="AI29" s="223">
        <v>19.98</v>
      </c>
      <c r="AJ29" s="223">
        <v>21.5</v>
      </c>
      <c r="AK29" s="223">
        <v>21</v>
      </c>
      <c r="AL29" s="223">
        <f>84.4-SUM(AI29:AK29)</f>
        <v>21.92</v>
      </c>
      <c r="AM29" s="223">
        <v>24.6</v>
      </c>
      <c r="AN29" s="223">
        <v>24.9</v>
      </c>
      <c r="AO29" s="223">
        <v>25.2</v>
      </c>
      <c r="AP29" s="223">
        <f>94.8-SUM(AM29:AO29)</f>
        <v>20.099999999999994</v>
      </c>
      <c r="AQ29" s="223">
        <v>22.077000000000002</v>
      </c>
      <c r="AR29" s="223">
        <v>23.218</v>
      </c>
      <c r="AS29" s="223">
        <v>22.677</v>
      </c>
      <c r="AT29" s="223">
        <f>89.766-SUM(AQ29:AS29)</f>
        <v>21.793999999999997</v>
      </c>
      <c r="AU29" s="223">
        <v>22.382000000000001</v>
      </c>
      <c r="AV29" s="223">
        <v>25.396000000000001</v>
      </c>
      <c r="AW29" s="225">
        <f>AW26*AW44</f>
        <v>31.72276875</v>
      </c>
      <c r="AX29" s="225">
        <f>AX26*AX44</f>
        <v>34.41856949999999</v>
      </c>
      <c r="AY29" s="209"/>
      <c r="BG29" s="223">
        <f t="shared" si="34"/>
        <v>18.100000000000001</v>
      </c>
      <c r="BH29" s="223">
        <f t="shared" si="35"/>
        <v>23.9</v>
      </c>
      <c r="BI29" s="223">
        <f t="shared" si="36"/>
        <v>31.6</v>
      </c>
      <c r="BJ29" s="223">
        <f t="shared" si="37"/>
        <v>67</v>
      </c>
      <c r="BK29" s="223">
        <f>SUM(S29:V29)</f>
        <v>51.722999999999999</v>
      </c>
      <c r="BL29" s="223">
        <f>SUM(W29:Z29)</f>
        <v>90.049000000000007</v>
      </c>
      <c r="BM29" s="223">
        <f>SUM(AA29:AD29)</f>
        <v>104.55200000000001</v>
      </c>
      <c r="BN29" s="223">
        <f>SUM(AE29:AH29)</f>
        <v>79.406999999999996</v>
      </c>
      <c r="BO29" s="223">
        <f>SUM(AI29:AL29)</f>
        <v>84.4</v>
      </c>
      <c r="BP29" s="223">
        <f>SUM(AM29:AP29)</f>
        <v>94.8</v>
      </c>
      <c r="BQ29" s="223">
        <f t="shared" si="38"/>
        <v>89.766000000000005</v>
      </c>
      <c r="BR29" s="225">
        <f t="shared" ref="BR29:CA29" si="48">BR26*BR44</f>
        <v>120.25960724000001</v>
      </c>
      <c r="BS29" s="225">
        <f t="shared" si="48"/>
        <v>148.37786629499999</v>
      </c>
      <c r="BT29" s="225">
        <f t="shared" si="48"/>
        <v>188.10175370928002</v>
      </c>
      <c r="BU29" s="225">
        <f t="shared" si="48"/>
        <v>233.00258729193737</v>
      </c>
      <c r="BV29" s="225">
        <f t="shared" si="48"/>
        <v>283.75870231579836</v>
      </c>
      <c r="BW29" s="225">
        <f t="shared" si="48"/>
        <v>340.95730303130028</v>
      </c>
      <c r="BX29" s="225">
        <f t="shared" si="48"/>
        <v>374.95827050640401</v>
      </c>
      <c r="BY29" s="225">
        <f t="shared" si="48"/>
        <v>408.7951319334432</v>
      </c>
      <c r="BZ29" s="225">
        <f t="shared" si="48"/>
        <v>455.98099996131873</v>
      </c>
      <c r="CA29" s="225">
        <f t="shared" si="48"/>
        <v>506.3627726973881</v>
      </c>
      <c r="CB29" s="225"/>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c r="CY29" s="225"/>
      <c r="CZ29" s="225"/>
      <c r="DA29" s="225"/>
      <c r="DB29" s="225"/>
      <c r="DC29" s="225"/>
      <c r="DD29" s="225"/>
      <c r="DE29" s="225"/>
      <c r="DF29" s="225"/>
      <c r="DG29" s="225"/>
      <c r="DH29" s="225"/>
      <c r="DI29" s="225"/>
      <c r="DJ29" s="225"/>
      <c r="DK29" s="225"/>
      <c r="DL29" s="225"/>
      <c r="DM29" s="225"/>
      <c r="DN29" s="225"/>
      <c r="DO29" s="225"/>
    </row>
    <row r="30" spans="2:119" ht="13.5" customHeight="1">
      <c r="B30" s="204" t="s">
        <v>289</v>
      </c>
      <c r="C30" s="223">
        <v>19.5</v>
      </c>
      <c r="D30" s="223">
        <v>26.4</v>
      </c>
      <c r="E30" s="223">
        <v>26.8</v>
      </c>
      <c r="F30" s="223">
        <v>29.2</v>
      </c>
      <c r="G30" s="223">
        <v>33.1</v>
      </c>
      <c r="H30" s="223">
        <v>35.9</v>
      </c>
      <c r="I30" s="223">
        <v>37.700000000000003</v>
      </c>
      <c r="J30" s="223">
        <v>41.6</v>
      </c>
      <c r="K30" s="223">
        <v>42.7</v>
      </c>
      <c r="L30" s="223">
        <v>44.2</v>
      </c>
      <c r="M30" s="223">
        <v>46</v>
      </c>
      <c r="N30" s="223">
        <v>51.5</v>
      </c>
      <c r="O30" s="223">
        <v>54.5</v>
      </c>
      <c r="P30" s="223">
        <v>54.8</v>
      </c>
      <c r="Q30" s="223">
        <v>55.9</v>
      </c>
      <c r="R30" s="223">
        <v>61.2</v>
      </c>
      <c r="S30" s="223">
        <v>61.091000000000001</v>
      </c>
      <c r="T30" s="223">
        <v>67.665000000000006</v>
      </c>
      <c r="U30" s="223">
        <v>69.289000000000001</v>
      </c>
      <c r="V30" s="223">
        <f>272.733-SUM(S30:U30)</f>
        <v>74.687999999999988</v>
      </c>
      <c r="W30" s="223">
        <v>74.453000000000003</v>
      </c>
      <c r="X30" s="223">
        <v>59.8</v>
      </c>
      <c r="Y30" s="223">
        <v>76.2</v>
      </c>
      <c r="Z30" s="223">
        <f>287.068-SUM(W30:Y30)</f>
        <v>76.615000000000009</v>
      </c>
      <c r="AA30" s="223">
        <v>79.798000000000002</v>
      </c>
      <c r="AB30" s="223">
        <v>90.63</v>
      </c>
      <c r="AC30" s="223">
        <v>94.397000000000006</v>
      </c>
      <c r="AD30" s="223">
        <f>378.331-SUM(AA30:AC30)</f>
        <v>113.50600000000003</v>
      </c>
      <c r="AE30" s="223">
        <v>110.9</v>
      </c>
      <c r="AF30" s="223">
        <v>114.61499999999999</v>
      </c>
      <c r="AG30" s="223">
        <v>108.57</v>
      </c>
      <c r="AH30" s="223">
        <f>449.718-SUM(AE30:AG30)</f>
        <v>115.63300000000004</v>
      </c>
      <c r="AI30" s="223">
        <v>123.07</v>
      </c>
      <c r="AJ30" s="223">
        <v>127.4</v>
      </c>
      <c r="AK30" s="223">
        <v>125.9</v>
      </c>
      <c r="AL30" s="223">
        <f>506.4-SUM(AI30:AK30)</f>
        <v>130.02999999999997</v>
      </c>
      <c r="AM30" s="223">
        <v>144.4</v>
      </c>
      <c r="AN30" s="223">
        <v>141.9</v>
      </c>
      <c r="AO30" s="223">
        <v>139.69999999999999</v>
      </c>
      <c r="AP30" s="223">
        <f>574-SUM(AM30:AO30)</f>
        <v>148</v>
      </c>
      <c r="AQ30" s="223">
        <v>153.45599999999999</v>
      </c>
      <c r="AR30" s="223">
        <v>159.964</v>
      </c>
      <c r="AS30" s="223">
        <v>168.90100000000001</v>
      </c>
      <c r="AT30" s="223">
        <f>663.422-SUM(AQ30:AS30)</f>
        <v>181.10100000000006</v>
      </c>
      <c r="AU30" s="223">
        <v>192.79499999999999</v>
      </c>
      <c r="AV30" s="223">
        <v>198.50899999999999</v>
      </c>
      <c r="AW30" s="225">
        <f>AW26*AW45</f>
        <v>195.41225550000001</v>
      </c>
      <c r="AX30" s="225">
        <f>AX26*AX45</f>
        <v>211.10055959999997</v>
      </c>
      <c r="AY30" s="209"/>
      <c r="BG30" s="223">
        <f t="shared" si="34"/>
        <v>101.9</v>
      </c>
      <c r="BH30" s="223">
        <f t="shared" si="35"/>
        <v>148.30000000000001</v>
      </c>
      <c r="BI30" s="223">
        <f t="shared" si="36"/>
        <v>184.4</v>
      </c>
      <c r="BJ30" s="223">
        <f t="shared" si="37"/>
        <v>226.39999999999998</v>
      </c>
      <c r="BK30" s="223">
        <f>SUM(S30:V30)</f>
        <v>272.733</v>
      </c>
      <c r="BL30" s="223">
        <f>SUM(W30:Z30)</f>
        <v>287.06799999999998</v>
      </c>
      <c r="BM30" s="223">
        <f>SUM(AA30:AD30)</f>
        <v>378.33100000000002</v>
      </c>
      <c r="BN30" s="223">
        <f>SUM(AE30:AH30)</f>
        <v>449.71800000000002</v>
      </c>
      <c r="BO30" s="223">
        <f>SUM(AI30:AL30)</f>
        <v>506.4</v>
      </c>
      <c r="BP30" s="223">
        <f>SUM(AM30:AP30)</f>
        <v>574</v>
      </c>
      <c r="BQ30" s="223">
        <f t="shared" si="38"/>
        <v>663.42200000000003</v>
      </c>
      <c r="BR30" s="225">
        <f t="shared" ref="BR30:CA30" si="49">BR26*BR45</f>
        <v>766.03722420000008</v>
      </c>
      <c r="BS30" s="225">
        <f t="shared" si="49"/>
        <v>895.21312664650009</v>
      </c>
      <c r="BT30" s="225">
        <f t="shared" si="49"/>
        <v>1048.6672769292361</v>
      </c>
      <c r="BU30" s="225">
        <f t="shared" si="49"/>
        <v>1203.3898331901237</v>
      </c>
      <c r="BV30" s="225">
        <f t="shared" si="49"/>
        <v>1371.5003945263586</v>
      </c>
      <c r="BW30" s="225">
        <f t="shared" si="49"/>
        <v>1552.2529848530251</v>
      </c>
      <c r="BX30" s="225">
        <f t="shared" si="49"/>
        <v>1734.9420516404423</v>
      </c>
      <c r="BY30" s="225">
        <f t="shared" si="49"/>
        <v>1930.4214563523706</v>
      </c>
      <c r="BZ30" s="225">
        <f t="shared" si="49"/>
        <v>2127.9113331528206</v>
      </c>
      <c r="CA30" s="225">
        <f t="shared" si="49"/>
        <v>2306.7637422881012</v>
      </c>
      <c r="CB30" s="225"/>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c r="CY30" s="225"/>
      <c r="CZ30" s="225"/>
      <c r="DA30" s="225"/>
      <c r="DB30" s="225"/>
      <c r="DC30" s="225"/>
      <c r="DD30" s="225"/>
      <c r="DE30" s="225"/>
      <c r="DF30" s="225"/>
      <c r="DG30" s="225"/>
      <c r="DH30" s="225"/>
      <c r="DI30" s="225"/>
      <c r="DJ30" s="225"/>
      <c r="DK30" s="225"/>
      <c r="DL30" s="225"/>
      <c r="DM30" s="225"/>
      <c r="DN30" s="225"/>
      <c r="DO30" s="225"/>
    </row>
    <row r="31" spans="2:119" ht="13.5" customHeight="1">
      <c r="B31" s="204" t="s">
        <v>290</v>
      </c>
      <c r="C31" s="223">
        <v>0</v>
      </c>
      <c r="D31" s="223">
        <v>0</v>
      </c>
      <c r="E31" s="223">
        <v>0</v>
      </c>
      <c r="F31" s="223">
        <v>0</v>
      </c>
      <c r="G31" s="223">
        <v>0</v>
      </c>
      <c r="H31" s="223">
        <v>0</v>
      </c>
      <c r="I31" s="223">
        <v>0</v>
      </c>
      <c r="J31" s="223">
        <v>0</v>
      </c>
      <c r="K31" s="223">
        <v>0</v>
      </c>
      <c r="L31" s="223">
        <v>0</v>
      </c>
      <c r="M31" s="223">
        <v>0</v>
      </c>
      <c r="N31" s="223">
        <v>0</v>
      </c>
      <c r="O31" s="223">
        <v>0</v>
      </c>
      <c r="P31" s="223">
        <v>0</v>
      </c>
      <c r="Q31" s="223">
        <v>0</v>
      </c>
      <c r="R31" s="223">
        <v>0</v>
      </c>
      <c r="S31" s="223">
        <v>0</v>
      </c>
      <c r="T31" s="223">
        <v>0</v>
      </c>
      <c r="U31" s="223">
        <v>0</v>
      </c>
      <c r="V31" s="223">
        <f>0-SUM(S31:U31)</f>
        <v>0</v>
      </c>
      <c r="W31" s="223">
        <v>0</v>
      </c>
      <c r="X31" s="223">
        <v>0</v>
      </c>
      <c r="Y31" s="223">
        <v>0</v>
      </c>
      <c r="Z31" s="223">
        <f>0-SUM(W31:Y31)</f>
        <v>0</v>
      </c>
      <c r="AA31" s="223">
        <v>0</v>
      </c>
      <c r="AB31" s="223">
        <v>0</v>
      </c>
      <c r="AC31" s="223">
        <v>0</v>
      </c>
      <c r="AD31" s="223">
        <f>0-SUM(AA31:AC31)</f>
        <v>0</v>
      </c>
      <c r="AE31" s="223">
        <v>0</v>
      </c>
      <c r="AF31" s="223">
        <v>0</v>
      </c>
      <c r="AG31" s="223">
        <v>0</v>
      </c>
      <c r="AH31" s="223">
        <f>0-SUM(AE31:AG31)</f>
        <v>0</v>
      </c>
      <c r="AI31" s="223">
        <v>0</v>
      </c>
      <c r="AJ31" s="223">
        <v>0</v>
      </c>
      <c r="AK31" s="223">
        <v>18.2</v>
      </c>
      <c r="AL31" s="223">
        <f>18.2-SUM(AI31:AK31)</f>
        <v>0</v>
      </c>
      <c r="AM31" s="223">
        <v>0</v>
      </c>
      <c r="AN31" s="223">
        <v>0</v>
      </c>
      <c r="AO31" s="223">
        <v>0</v>
      </c>
      <c r="AP31" s="223">
        <f>0-SUM(AM31:AO31)</f>
        <v>0</v>
      </c>
      <c r="AQ31" s="223">
        <v>0</v>
      </c>
      <c r="AR31" s="223">
        <v>0</v>
      </c>
      <c r="AS31" s="223">
        <v>0</v>
      </c>
      <c r="AT31" s="223">
        <f>0-SUM(AQ31:AS31)</f>
        <v>0</v>
      </c>
      <c r="AU31" s="223">
        <v>0</v>
      </c>
      <c r="AV31" s="223">
        <v>0</v>
      </c>
      <c r="AW31" s="225">
        <v>0</v>
      </c>
      <c r="AX31" s="225">
        <v>0</v>
      </c>
      <c r="AY31" s="209"/>
      <c r="BG31" s="223">
        <f t="shared" si="34"/>
        <v>0</v>
      </c>
      <c r="BH31" s="223">
        <f t="shared" si="35"/>
        <v>0</v>
      </c>
      <c r="BI31" s="223">
        <f t="shared" si="36"/>
        <v>0</v>
      </c>
      <c r="BJ31" s="223">
        <f t="shared" si="37"/>
        <v>0</v>
      </c>
      <c r="BK31" s="223">
        <f>SUM(S31:V31)</f>
        <v>0</v>
      </c>
      <c r="BL31" s="223">
        <f>SUM(W31:Z31)</f>
        <v>0</v>
      </c>
      <c r="BM31" s="223">
        <f>SUM(AA31:AD31)</f>
        <v>0</v>
      </c>
      <c r="BN31" s="223">
        <f>SUM(AE31:AH31)</f>
        <v>0</v>
      </c>
      <c r="BO31" s="223">
        <f>SUM(AI31:AL31)</f>
        <v>18.2</v>
      </c>
      <c r="BP31" s="223">
        <f>SUM(AM31:AP31)</f>
        <v>0</v>
      </c>
      <c r="BQ31" s="223">
        <f t="shared" si="38"/>
        <v>0</v>
      </c>
      <c r="BR31" s="225">
        <v>0</v>
      </c>
      <c r="BS31" s="225">
        <v>0</v>
      </c>
      <c r="BT31" s="225">
        <v>0</v>
      </c>
      <c r="BU31" s="225">
        <v>0</v>
      </c>
      <c r="BV31" s="225">
        <v>0</v>
      </c>
      <c r="BW31" s="225">
        <v>0</v>
      </c>
      <c r="BX31" s="225">
        <v>0</v>
      </c>
      <c r="BY31" s="225">
        <v>0</v>
      </c>
      <c r="BZ31" s="225">
        <v>0</v>
      </c>
      <c r="CA31" s="225">
        <v>0</v>
      </c>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row>
    <row r="32" spans="2:119" ht="13.5" customHeight="1">
      <c r="B32" s="204" t="s">
        <v>291</v>
      </c>
      <c r="C32" s="223">
        <v>0.1</v>
      </c>
      <c r="D32" s="223">
        <f>31.2-SUM(D29:D31)</f>
        <v>0</v>
      </c>
      <c r="E32" s="223">
        <f>31.3-SUM(E29:E31)</f>
        <v>-9.9999999999997868E-2</v>
      </c>
      <c r="F32" s="223">
        <f>34.6-SUM(F29:F31)</f>
        <v>-0.10000000000000142</v>
      </c>
      <c r="G32" s="223">
        <f>38.1-SUM(G29:G31)</f>
        <v>0</v>
      </c>
      <c r="H32" s="223">
        <v>0</v>
      </c>
      <c r="I32" s="223">
        <v>0.1</v>
      </c>
      <c r="J32" s="223">
        <v>0.1</v>
      </c>
      <c r="K32" s="223">
        <v>0</v>
      </c>
      <c r="L32" s="223">
        <v>-0.1</v>
      </c>
      <c r="M32" s="223">
        <v>0</v>
      </c>
      <c r="N32" s="223">
        <v>0</v>
      </c>
      <c r="O32" s="223">
        <v>0.1</v>
      </c>
      <c r="P32" s="223">
        <v>-0.1</v>
      </c>
      <c r="Q32" s="223">
        <v>0</v>
      </c>
      <c r="R32" s="223">
        <v>-0.1</v>
      </c>
      <c r="S32" s="223">
        <v>0</v>
      </c>
      <c r="T32" s="223">
        <v>0</v>
      </c>
      <c r="U32" s="223">
        <v>0</v>
      </c>
      <c r="V32" s="223">
        <f>0-SUM(S32:U32)</f>
        <v>0</v>
      </c>
      <c r="W32" s="223">
        <v>0</v>
      </c>
      <c r="X32" s="223">
        <v>0</v>
      </c>
      <c r="Y32" s="223">
        <v>0</v>
      </c>
      <c r="Z32" s="223">
        <f>0-SUM(W32:Y32)</f>
        <v>0</v>
      </c>
      <c r="AA32" s="223">
        <v>0</v>
      </c>
      <c r="AB32" s="223">
        <v>0</v>
      </c>
      <c r="AC32" s="223">
        <v>0</v>
      </c>
      <c r="AD32" s="223">
        <f>0-SUM(AA32:AC32)</f>
        <v>0</v>
      </c>
      <c r="AE32" s="223">
        <v>0</v>
      </c>
      <c r="AF32" s="223">
        <v>0</v>
      </c>
      <c r="AG32" s="223">
        <v>0</v>
      </c>
      <c r="AH32" s="223">
        <f>0-SUM(AE32:AG32)</f>
        <v>0</v>
      </c>
      <c r="AI32" s="223">
        <v>0</v>
      </c>
      <c r="AJ32" s="223">
        <v>0</v>
      </c>
      <c r="AK32" s="223">
        <v>0</v>
      </c>
      <c r="AL32" s="223">
        <f>0-SUM(AI32:AK32)</f>
        <v>0</v>
      </c>
      <c r="AM32" s="223">
        <v>0</v>
      </c>
      <c r="AN32" s="223">
        <v>76.900000000000006</v>
      </c>
      <c r="AO32" s="223">
        <v>0</v>
      </c>
      <c r="AP32" s="223">
        <f>76.94-SUM(AM32:AO32)</f>
        <v>3.9999999999992042E-2</v>
      </c>
      <c r="AQ32" s="223">
        <v>0</v>
      </c>
      <c r="AR32" s="223">
        <v>0</v>
      </c>
      <c r="AS32" s="223">
        <v>0</v>
      </c>
      <c r="AT32" s="223">
        <f>0-SUM(AQ32:AS32)</f>
        <v>0</v>
      </c>
      <c r="AU32" s="223">
        <v>0</v>
      </c>
      <c r="AV32" s="223">
        <v>0</v>
      </c>
      <c r="AW32" s="225">
        <v>0</v>
      </c>
      <c r="AX32" s="225">
        <v>0</v>
      </c>
      <c r="AY32" s="209"/>
      <c r="BG32" s="223">
        <f t="shared" si="34"/>
        <v>-9.9999999999999284E-2</v>
      </c>
      <c r="BH32" s="223">
        <f t="shared" si="35"/>
        <v>0.2</v>
      </c>
      <c r="BI32" s="223">
        <f t="shared" si="36"/>
        <v>-0.1</v>
      </c>
      <c r="BJ32" s="223">
        <f t="shared" si="37"/>
        <v>-0.1</v>
      </c>
      <c r="BK32" s="223">
        <f>SUM(S32:V32)</f>
        <v>0</v>
      </c>
      <c r="BL32" s="223">
        <f>SUM(W32:Z32)</f>
        <v>0</v>
      </c>
      <c r="BM32" s="223">
        <f>SUM(AA32:AD32)</f>
        <v>0</v>
      </c>
      <c r="BN32" s="223">
        <f>SUM(AE32:AH32)</f>
        <v>0</v>
      </c>
      <c r="BO32" s="223">
        <f>SUM(AI32:AL32)</f>
        <v>0</v>
      </c>
      <c r="BP32" s="223">
        <f>SUM(AM32:AP32)</f>
        <v>76.94</v>
      </c>
      <c r="BQ32" s="223">
        <f t="shared" si="38"/>
        <v>0</v>
      </c>
      <c r="BR32" s="225">
        <v>0</v>
      </c>
      <c r="BS32" s="225">
        <v>0</v>
      </c>
      <c r="BT32" s="225">
        <v>0</v>
      </c>
      <c r="BU32" s="225">
        <v>0</v>
      </c>
      <c r="BV32" s="225">
        <v>0</v>
      </c>
      <c r="BW32" s="225">
        <v>0</v>
      </c>
      <c r="BX32" s="225">
        <v>0</v>
      </c>
      <c r="BY32" s="225">
        <v>0</v>
      </c>
      <c r="BZ32" s="225">
        <v>0</v>
      </c>
      <c r="CA32" s="225">
        <v>0</v>
      </c>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c r="CY32" s="225"/>
      <c r="CZ32" s="225"/>
      <c r="DA32" s="225"/>
      <c r="DB32" s="225"/>
      <c r="DC32" s="225"/>
      <c r="DD32" s="225"/>
      <c r="DE32" s="225"/>
      <c r="DF32" s="225"/>
      <c r="DG32" s="225"/>
      <c r="DH32" s="225"/>
      <c r="DI32" s="225"/>
      <c r="DJ32" s="225"/>
      <c r="DK32" s="225"/>
      <c r="DL32" s="225"/>
      <c r="DM32" s="225"/>
      <c r="DN32" s="225"/>
      <c r="DO32" s="225"/>
    </row>
    <row r="33" spans="2:119" ht="13.5" customHeight="1">
      <c r="B33" s="204" t="s">
        <v>292</v>
      </c>
      <c r="C33" s="223">
        <f t="shared" ref="C33:T33" si="50">C28-SUM(C29:C32)</f>
        <v>4</v>
      </c>
      <c r="D33" s="223">
        <f t="shared" si="50"/>
        <v>-3.8000000000000007</v>
      </c>
      <c r="E33" s="223">
        <f t="shared" si="50"/>
        <v>2.1999999999999993</v>
      </c>
      <c r="F33" s="223">
        <f t="shared" si="50"/>
        <v>1.7999999999999972</v>
      </c>
      <c r="G33" s="223">
        <f t="shared" si="50"/>
        <v>1.7999999999999972</v>
      </c>
      <c r="H33" s="223">
        <f t="shared" si="50"/>
        <v>-0.70000000000000284</v>
      </c>
      <c r="I33" s="223">
        <f t="shared" si="50"/>
        <v>-1.3999999999999986</v>
      </c>
      <c r="J33" s="223">
        <f t="shared" si="50"/>
        <v>-1.2000000000000099</v>
      </c>
      <c r="K33" s="223">
        <f t="shared" si="50"/>
        <v>-2</v>
      </c>
      <c r="L33" s="223">
        <f t="shared" si="50"/>
        <v>-1.3000000000000114</v>
      </c>
      <c r="M33" s="223">
        <f t="shared" si="50"/>
        <v>0.70000000000000284</v>
      </c>
      <c r="N33" s="223">
        <f t="shared" si="50"/>
        <v>3.8999999999999986</v>
      </c>
      <c r="O33" s="223">
        <f t="shared" si="50"/>
        <v>3.9999999999999929</v>
      </c>
      <c r="P33" s="223">
        <f t="shared" si="50"/>
        <v>9.2999999999999901</v>
      </c>
      <c r="Q33" s="223">
        <f t="shared" si="50"/>
        <v>-20.799999999999997</v>
      </c>
      <c r="R33" s="223">
        <f t="shared" si="50"/>
        <v>6.6999999999999744</v>
      </c>
      <c r="S33" s="223">
        <f t="shared" si="50"/>
        <v>11.152000000000001</v>
      </c>
      <c r="T33" s="223">
        <f t="shared" si="50"/>
        <v>12.800999999999988</v>
      </c>
      <c r="U33" s="223">
        <v>12.976000000000001</v>
      </c>
      <c r="V33" s="223">
        <f t="shared" ref="V33:AN33" si="51">V28-SUM(V29:V32)</f>
        <v>10.577000000000098</v>
      </c>
      <c r="W33" s="223">
        <f t="shared" si="51"/>
        <v>0.6010000000000133</v>
      </c>
      <c r="X33" s="223">
        <f t="shared" si="51"/>
        <v>-17.625000000000014</v>
      </c>
      <c r="Y33" s="223">
        <f t="shared" si="51"/>
        <v>-20.176000000000002</v>
      </c>
      <c r="Z33" s="223">
        <f>Z28-SUM(Z29:Z32)</f>
        <v>-1.7419999999999902</v>
      </c>
      <c r="AA33" s="223">
        <f t="shared" si="51"/>
        <v>13.459000000000003</v>
      </c>
      <c r="AB33" s="223">
        <f t="shared" si="51"/>
        <v>10.332000000000022</v>
      </c>
      <c r="AC33" s="223">
        <f t="shared" si="51"/>
        <v>8.7729999999999819</v>
      </c>
      <c r="AD33" s="223">
        <f>AD28-SUM(AD29:AD32)</f>
        <v>-40.065000000000083</v>
      </c>
      <c r="AE33" s="223">
        <f t="shared" si="51"/>
        <v>-4.0600000000000023</v>
      </c>
      <c r="AF33" s="223">
        <f t="shared" si="51"/>
        <v>-0.17400000000000659</v>
      </c>
      <c r="AG33" s="223">
        <f t="shared" si="51"/>
        <v>5.4099999999999966</v>
      </c>
      <c r="AH33" s="223">
        <f t="shared" si="51"/>
        <v>4.9059999999999491</v>
      </c>
      <c r="AI33" s="223">
        <f t="shared" si="51"/>
        <v>8.0500000000000398</v>
      </c>
      <c r="AJ33" s="223">
        <f t="shared" si="51"/>
        <v>18</v>
      </c>
      <c r="AK33" s="223">
        <f t="shared" si="51"/>
        <v>12.599999999999994</v>
      </c>
      <c r="AL33" s="223">
        <f t="shared" si="51"/>
        <v>34.970000000000027</v>
      </c>
      <c r="AM33" s="223">
        <f t="shared" si="51"/>
        <v>12.199999999999989</v>
      </c>
      <c r="AN33" s="223">
        <f t="shared" si="51"/>
        <v>-80.900000000000034</v>
      </c>
      <c r="AO33" s="223">
        <f>AO28-SUM(AO29:AO32)</f>
        <v>35.400000000000034</v>
      </c>
      <c r="AP33" s="223">
        <f t="shared" ref="AP33" si="52">AP28-SUM(AP29:AP32)</f>
        <v>42.56</v>
      </c>
      <c r="AQ33" s="223">
        <f>AQ28-SUM(AQ29:AQ32)</f>
        <v>40.349999999999994</v>
      </c>
      <c r="AR33" s="223">
        <f>AR28-SUM(AR29:AR32)</f>
        <v>40.828000000000003</v>
      </c>
      <c r="AS33" s="223">
        <f>AS28-SUM(AS29:AS32)</f>
        <v>48.837999999999994</v>
      </c>
      <c r="AT33" s="223">
        <f t="shared" ref="AT33" si="53">AT28-SUM(AT29:AT32)</f>
        <v>59.232999999999947</v>
      </c>
      <c r="AU33" s="223">
        <f t="shared" ref="AU33:AX33" si="54">AU28-SUM(AU29:AU32)</f>
        <v>38.234000000000009</v>
      </c>
      <c r="AV33" s="223">
        <f t="shared" si="54"/>
        <v>41.038999999999987</v>
      </c>
      <c r="AW33" s="225">
        <f t="shared" si="54"/>
        <v>65.560388750000016</v>
      </c>
      <c r="AX33" s="225">
        <f t="shared" si="54"/>
        <v>75.720852899999983</v>
      </c>
      <c r="AY33" s="209"/>
      <c r="BG33" s="223">
        <f t="shared" si="34"/>
        <v>4.1999999999999957</v>
      </c>
      <c r="BH33" s="223">
        <f t="shared" si="35"/>
        <v>-1.5000000000000142</v>
      </c>
      <c r="BI33" s="223">
        <f t="shared" si="36"/>
        <v>1.2999999999999901</v>
      </c>
      <c r="BJ33" s="223">
        <f t="shared" si="37"/>
        <v>-0.80000000000003979</v>
      </c>
      <c r="BK33" s="223">
        <f t="shared" ref="BK33:BO33" si="55">BK28-SUM(BK29:BK32)</f>
        <v>47.505999999999972</v>
      </c>
      <c r="BL33" s="223">
        <f t="shared" si="55"/>
        <v>-38.941999999999894</v>
      </c>
      <c r="BM33" s="223">
        <f t="shared" si="55"/>
        <v>-7.5010000000000332</v>
      </c>
      <c r="BN33" s="223">
        <f t="shared" si="55"/>
        <v>6.0820000000001073</v>
      </c>
      <c r="BO33" s="223">
        <f t="shared" si="55"/>
        <v>73.62</v>
      </c>
      <c r="BP33" s="223">
        <f>BP28-SUM(BP29:BP32)</f>
        <v>9.2599999999998772</v>
      </c>
      <c r="BQ33" s="223">
        <f t="shared" si="38"/>
        <v>189.24899999999994</v>
      </c>
      <c r="BR33" s="225">
        <f t="shared" ref="BR33:BW33" si="56">BR28-SUM(BR29:BR32)</f>
        <v>225.69268756000008</v>
      </c>
      <c r="BS33" s="225">
        <f t="shared" si="56"/>
        <v>325.4421200736997</v>
      </c>
      <c r="BT33" s="225">
        <f t="shared" si="56"/>
        <v>416.17513008178184</v>
      </c>
      <c r="BU33" s="225">
        <f t="shared" si="56"/>
        <v>509.86448513294522</v>
      </c>
      <c r="BV33" s="225">
        <f t="shared" si="56"/>
        <v>599.04614933335233</v>
      </c>
      <c r="BW33" s="225">
        <f t="shared" si="56"/>
        <v>690.88716666868731</v>
      </c>
      <c r="BX33" s="225">
        <f t="shared" ref="BX33:CA33" si="57">BX28-SUM(BX29:BX32)</f>
        <v>828.9617980384819</v>
      </c>
      <c r="BY33" s="225">
        <f t="shared" si="57"/>
        <v>976.56614850766982</v>
      </c>
      <c r="BZ33" s="225">
        <f t="shared" si="57"/>
        <v>1139.9524999032965</v>
      </c>
      <c r="CA33" s="225">
        <f t="shared" si="57"/>
        <v>1350.3007271930351</v>
      </c>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c r="CY33" s="225"/>
      <c r="CZ33" s="225"/>
      <c r="DA33" s="225"/>
      <c r="DB33" s="225"/>
      <c r="DC33" s="225"/>
      <c r="DD33" s="225"/>
      <c r="DE33" s="225"/>
      <c r="DF33" s="225"/>
      <c r="DG33" s="225"/>
      <c r="DH33" s="225"/>
      <c r="DI33" s="225"/>
      <c r="DJ33" s="225"/>
      <c r="DK33" s="225"/>
      <c r="DL33" s="225"/>
      <c r="DM33" s="225"/>
      <c r="DN33" s="225"/>
      <c r="DO33" s="225"/>
    </row>
    <row r="34" spans="2:119" ht="13.5" customHeight="1">
      <c r="B34" s="204" t="s">
        <v>293</v>
      </c>
      <c r="C34" s="223">
        <v>0.3</v>
      </c>
      <c r="D34" s="223">
        <v>-0.4</v>
      </c>
      <c r="E34" s="223">
        <v>-0.1</v>
      </c>
      <c r="F34" s="223">
        <v>0.1</v>
      </c>
      <c r="G34" s="223">
        <v>0.3</v>
      </c>
      <c r="H34" s="223">
        <v>0.3</v>
      </c>
      <c r="I34" s="223">
        <v>0.3</v>
      </c>
      <c r="J34" s="223">
        <v>-0.4</v>
      </c>
      <c r="K34" s="223">
        <v>0.3</v>
      </c>
      <c r="L34" s="223">
        <v>0.4</v>
      </c>
      <c r="M34" s="223">
        <v>0.6</v>
      </c>
      <c r="N34" s="223">
        <v>0</v>
      </c>
      <c r="O34" s="223">
        <v>0.5</v>
      </c>
      <c r="P34" s="223">
        <v>0.4</v>
      </c>
      <c r="Q34" s="223">
        <v>0.9</v>
      </c>
      <c r="R34" s="223">
        <v>0.7</v>
      </c>
      <c r="S34" s="223">
        <f>0.733+0.024</f>
        <v>0.75700000000000001</v>
      </c>
      <c r="T34" s="223">
        <f>0.784-0.071</f>
        <v>0.71300000000000008</v>
      </c>
      <c r="U34" s="223">
        <f>0.759-0.772</f>
        <v>-1.3000000000000012E-2</v>
      </c>
      <c r="V34" s="223">
        <f>2.854-0.227-SUM(S34:U34)</f>
        <v>1.17</v>
      </c>
      <c r="W34" s="223">
        <f>0.299-1.555</f>
        <v>-1.256</v>
      </c>
      <c r="X34" s="223">
        <f>0.108+0.508</f>
        <v>0.61599999999999999</v>
      </c>
      <c r="Y34" s="223">
        <f>0.413+0.014</f>
        <v>0.42699999999999999</v>
      </c>
      <c r="Z34" s="223">
        <f>1.267-0.243-SUM(W34:Y34)</f>
        <v>1.2370000000000001</v>
      </c>
      <c r="AA34" s="223">
        <f>0.48-1.476</f>
        <v>-0.996</v>
      </c>
      <c r="AB34" s="223">
        <f>0.299-0.408</f>
        <v>-0.10899999999999999</v>
      </c>
      <c r="AC34" s="223">
        <f>0.138-1.137</f>
        <v>-0.999</v>
      </c>
      <c r="AD34" s="223">
        <f>0.938-3.939-SUM(AA34:AC34)</f>
        <v>-0.89700000000000024</v>
      </c>
      <c r="AE34" s="223">
        <f>-0.041-1.01</f>
        <v>-1.0509999999999999</v>
      </c>
      <c r="AF34" s="223">
        <f>-0.07-0.9</f>
        <v>-0.97</v>
      </c>
      <c r="AG34" s="223">
        <f>-0.04-2.35</f>
        <v>-2.39</v>
      </c>
      <c r="AH34" s="223">
        <f>0.137-2.327-SUM(AE34:AG34)</f>
        <v>2.2209999999999996</v>
      </c>
      <c r="AI34" s="223">
        <v>0.64400000000000002</v>
      </c>
      <c r="AJ34" s="223">
        <v>1.6</v>
      </c>
      <c r="AK34" s="223">
        <v>0.7</v>
      </c>
      <c r="AL34" s="223">
        <f>6.09-SUM(AI34:AK34)</f>
        <v>3.1459999999999999</v>
      </c>
      <c r="AM34" s="223">
        <v>2.5</v>
      </c>
      <c r="AN34" s="223">
        <v>3.1</v>
      </c>
      <c r="AO34" s="223">
        <v>4.4000000000000004</v>
      </c>
      <c r="AP34" s="223">
        <f>11.59-SUM(AM34:AO34)</f>
        <v>1.5899999999999999</v>
      </c>
      <c r="AQ34" s="223">
        <v>3.508</v>
      </c>
      <c r="AR34" s="223">
        <v>4.4820000000000002</v>
      </c>
      <c r="AS34" s="223">
        <v>3.4870000000000001</v>
      </c>
      <c r="AT34" s="223">
        <f>15.876-SUM(AQ34:AS34)</f>
        <v>4.3989999999999991</v>
      </c>
      <c r="AU34" s="223">
        <v>3.4540000000000002</v>
      </c>
      <c r="AV34" s="223">
        <v>5.1479999999999997</v>
      </c>
      <c r="AW34" s="225">
        <f>AV50*0.045</f>
        <v>9.2371949999999998</v>
      </c>
      <c r="AX34" s="225">
        <f>AW50*0.045</f>
        <v>11.409794999999999</v>
      </c>
      <c r="AY34" s="209"/>
      <c r="BG34" s="223">
        <f t="shared" si="34"/>
        <v>-0.10000000000000003</v>
      </c>
      <c r="BH34" s="223">
        <f t="shared" si="35"/>
        <v>0.49999999999999989</v>
      </c>
      <c r="BI34" s="223">
        <f t="shared" si="36"/>
        <v>1.2999999999999998</v>
      </c>
      <c r="BJ34" s="223">
        <f t="shared" si="37"/>
        <v>2.5</v>
      </c>
      <c r="BK34" s="223">
        <f>SUM(S34:V34)</f>
        <v>2.6270000000000002</v>
      </c>
      <c r="BL34" s="223">
        <f>SUM(W34:Z34)</f>
        <v>1.024</v>
      </c>
      <c r="BM34" s="223">
        <f>SUM(AA34:AD34)</f>
        <v>-3.0010000000000003</v>
      </c>
      <c r="BN34" s="223">
        <f>SUM(AE34:AH34)</f>
        <v>-2.19</v>
      </c>
      <c r="BO34" s="223">
        <f>SUM(AI34:AL34)</f>
        <v>6.09</v>
      </c>
      <c r="BP34" s="223">
        <f>SUM(AM34:AP34)</f>
        <v>11.59</v>
      </c>
      <c r="BQ34" s="223">
        <f t="shared" si="38"/>
        <v>15.875999999999999</v>
      </c>
      <c r="BR34" s="225">
        <f t="shared" ref="BR34:CA34" si="58">BQ50*$CA$53</f>
        <v>30.743404999999999</v>
      </c>
      <c r="BS34" s="225">
        <f t="shared" si="58"/>
        <v>64.490394780896011</v>
      </c>
      <c r="BT34" s="225">
        <f t="shared" si="58"/>
        <v>114.52263576188918</v>
      </c>
      <c r="BU34" s="225">
        <f t="shared" si="58"/>
        <v>181.74346827247774</v>
      </c>
      <c r="BV34" s="225">
        <f t="shared" si="58"/>
        <v>269.34598969057566</v>
      </c>
      <c r="BW34" s="225">
        <f t="shared" si="58"/>
        <v>379.34087998004151</v>
      </c>
      <c r="BX34" s="225">
        <f t="shared" si="58"/>
        <v>514.90131550880278</v>
      </c>
      <c r="BY34" s="225">
        <f t="shared" si="58"/>
        <v>685.12173678626959</v>
      </c>
      <c r="BZ34" s="225">
        <f t="shared" si="58"/>
        <v>895.59943277702655</v>
      </c>
      <c r="CA34" s="225">
        <f t="shared" si="58"/>
        <v>1153.4326183299795</v>
      </c>
      <c r="CB34" s="225"/>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c r="CY34" s="225"/>
      <c r="CZ34" s="225"/>
      <c r="DA34" s="225"/>
      <c r="DB34" s="225"/>
      <c r="DC34" s="225"/>
      <c r="DD34" s="225"/>
      <c r="DE34" s="225"/>
      <c r="DF34" s="225"/>
      <c r="DG34" s="225"/>
      <c r="DH34" s="225"/>
      <c r="DI34" s="225"/>
      <c r="DJ34" s="225"/>
      <c r="DK34" s="225"/>
      <c r="DL34" s="225"/>
      <c r="DM34" s="225"/>
      <c r="DN34" s="225"/>
      <c r="DO34" s="225"/>
    </row>
    <row r="35" spans="2:119" ht="13.5" customHeight="1">
      <c r="B35" s="204" t="s">
        <v>294</v>
      </c>
      <c r="C35" s="223">
        <f t="shared" ref="C35:AJ35" si="59">C33+C34</f>
        <v>4.3</v>
      </c>
      <c r="D35" s="223">
        <f t="shared" si="59"/>
        <v>-4.2000000000000011</v>
      </c>
      <c r="E35" s="223">
        <f t="shared" si="59"/>
        <v>2.0999999999999992</v>
      </c>
      <c r="F35" s="223">
        <f t="shared" si="59"/>
        <v>1.8999999999999972</v>
      </c>
      <c r="G35" s="223">
        <f t="shared" si="59"/>
        <v>2.099999999999997</v>
      </c>
      <c r="H35" s="223">
        <f t="shared" si="59"/>
        <v>-0.40000000000000285</v>
      </c>
      <c r="I35" s="223">
        <f t="shared" si="59"/>
        <v>-1.0999999999999985</v>
      </c>
      <c r="J35" s="223">
        <f t="shared" si="59"/>
        <v>-1.6000000000000099</v>
      </c>
      <c r="K35" s="223">
        <f t="shared" si="59"/>
        <v>-1.7</v>
      </c>
      <c r="L35" s="223">
        <f t="shared" si="59"/>
        <v>-0.90000000000001135</v>
      </c>
      <c r="M35" s="223">
        <f t="shared" si="59"/>
        <v>1.3000000000000029</v>
      </c>
      <c r="N35" s="223">
        <f t="shared" si="59"/>
        <v>3.8999999999999986</v>
      </c>
      <c r="O35" s="223">
        <f t="shared" si="59"/>
        <v>4.4999999999999929</v>
      </c>
      <c r="P35" s="223">
        <f t="shared" si="59"/>
        <v>9.6999999999999904</v>
      </c>
      <c r="Q35" s="223">
        <f t="shared" si="59"/>
        <v>-19.899999999999999</v>
      </c>
      <c r="R35" s="223">
        <f t="shared" si="59"/>
        <v>7.3999999999999746</v>
      </c>
      <c r="S35" s="223">
        <f t="shared" si="59"/>
        <v>11.909000000000001</v>
      </c>
      <c r="T35" s="223">
        <f t="shared" si="59"/>
        <v>13.513999999999989</v>
      </c>
      <c r="U35" s="223">
        <f t="shared" si="59"/>
        <v>12.963000000000001</v>
      </c>
      <c r="V35" s="223">
        <f t="shared" si="59"/>
        <v>11.747000000000098</v>
      </c>
      <c r="W35" s="223">
        <f t="shared" si="59"/>
        <v>-0.6549999999999867</v>
      </c>
      <c r="X35" s="223">
        <f t="shared" si="59"/>
        <v>-17.009000000000015</v>
      </c>
      <c r="Y35" s="223">
        <f t="shared" si="59"/>
        <v>-19.749000000000002</v>
      </c>
      <c r="Z35" s="223">
        <f t="shared" si="59"/>
        <v>-0.50499999999999012</v>
      </c>
      <c r="AA35" s="223">
        <f t="shared" si="59"/>
        <v>12.463000000000003</v>
      </c>
      <c r="AB35" s="223">
        <f t="shared" si="59"/>
        <v>10.223000000000022</v>
      </c>
      <c r="AC35" s="223">
        <f t="shared" si="59"/>
        <v>7.7739999999999823</v>
      </c>
      <c r="AD35" s="223">
        <f t="shared" si="59"/>
        <v>-40.962000000000081</v>
      </c>
      <c r="AE35" s="223">
        <f t="shared" si="59"/>
        <v>-5.1110000000000024</v>
      </c>
      <c r="AF35" s="223">
        <f t="shared" si="59"/>
        <v>-1.1440000000000066</v>
      </c>
      <c r="AG35" s="223">
        <f t="shared" si="59"/>
        <v>3.0199999999999965</v>
      </c>
      <c r="AH35" s="223">
        <f t="shared" si="59"/>
        <v>7.1269999999999492</v>
      </c>
      <c r="AI35" s="223">
        <f t="shared" si="59"/>
        <v>8.6940000000000399</v>
      </c>
      <c r="AJ35" s="223">
        <f t="shared" si="59"/>
        <v>19.600000000000001</v>
      </c>
      <c r="AK35" s="223">
        <f>AK33+AK34</f>
        <v>13.299999999999994</v>
      </c>
      <c r="AL35" s="223">
        <f t="shared" ref="AL35:AR35" si="60">AL33+AL34</f>
        <v>38.116000000000028</v>
      </c>
      <c r="AM35" s="223">
        <f t="shared" si="60"/>
        <v>14.699999999999989</v>
      </c>
      <c r="AN35" s="223">
        <f t="shared" si="60"/>
        <v>-77.80000000000004</v>
      </c>
      <c r="AO35" s="223">
        <f t="shared" si="60"/>
        <v>39.800000000000033</v>
      </c>
      <c r="AP35" s="223">
        <f t="shared" si="60"/>
        <v>44.150000000000006</v>
      </c>
      <c r="AQ35" s="223">
        <f t="shared" si="60"/>
        <v>43.857999999999997</v>
      </c>
      <c r="AR35" s="223">
        <f t="shared" si="60"/>
        <v>45.31</v>
      </c>
      <c r="AS35" s="223">
        <f>AS33+AS34</f>
        <v>52.324999999999996</v>
      </c>
      <c r="AT35" s="223">
        <f t="shared" ref="AT35" si="61">AT33+AT34</f>
        <v>63.631999999999948</v>
      </c>
      <c r="AU35" s="223">
        <f t="shared" ref="AU35:AX35" si="62">AU33+AU34</f>
        <v>41.688000000000009</v>
      </c>
      <c r="AV35" s="223">
        <f t="shared" si="62"/>
        <v>46.186999999999983</v>
      </c>
      <c r="AW35" s="225">
        <f t="shared" si="62"/>
        <v>74.797583750000015</v>
      </c>
      <c r="AX35" s="225">
        <f t="shared" si="62"/>
        <v>87.130647899999985</v>
      </c>
      <c r="AY35" s="209"/>
      <c r="BG35" s="223">
        <f t="shared" si="34"/>
        <v>4.0999999999999952</v>
      </c>
      <c r="BH35" s="223">
        <f t="shared" si="35"/>
        <v>-1.0000000000000142</v>
      </c>
      <c r="BI35" s="223">
        <f t="shared" si="36"/>
        <v>2.5999999999999903</v>
      </c>
      <c r="BJ35" s="223">
        <f t="shared" si="37"/>
        <v>1.6999999999999593</v>
      </c>
      <c r="BK35" s="223">
        <f t="shared" ref="BK35:BO35" si="63">BK33+BK34</f>
        <v>50.132999999999974</v>
      </c>
      <c r="BL35" s="223">
        <f t="shared" si="63"/>
        <v>-37.917999999999893</v>
      </c>
      <c r="BM35" s="223">
        <f t="shared" si="63"/>
        <v>-10.502000000000034</v>
      </c>
      <c r="BN35" s="223">
        <f t="shared" si="63"/>
        <v>3.8920000000001074</v>
      </c>
      <c r="BO35" s="223">
        <f t="shared" si="63"/>
        <v>79.710000000000008</v>
      </c>
      <c r="BP35" s="223">
        <f>BP33+BP34</f>
        <v>20.849999999999877</v>
      </c>
      <c r="BQ35" s="223">
        <f t="shared" si="38"/>
        <v>205.12499999999994</v>
      </c>
      <c r="BR35" s="225">
        <f t="shared" ref="BR35" si="64">BR33+BR34</f>
        <v>256.43609256000008</v>
      </c>
      <c r="BS35" s="225">
        <f t="shared" ref="BS35:CA35" si="65">BS33+BS34</f>
        <v>389.93251485459569</v>
      </c>
      <c r="BT35" s="225">
        <f t="shared" si="65"/>
        <v>530.69776584367105</v>
      </c>
      <c r="BU35" s="225">
        <f t="shared" si="65"/>
        <v>691.6079534054229</v>
      </c>
      <c r="BV35" s="225">
        <f t="shared" si="65"/>
        <v>868.39213902392794</v>
      </c>
      <c r="BW35" s="225">
        <f t="shared" si="65"/>
        <v>1070.2280466487289</v>
      </c>
      <c r="BX35" s="225">
        <f t="shared" si="65"/>
        <v>1343.8631135472847</v>
      </c>
      <c r="BY35" s="225">
        <f t="shared" si="65"/>
        <v>1661.6878852939394</v>
      </c>
      <c r="BZ35" s="225">
        <f t="shared" si="65"/>
        <v>2035.551932680323</v>
      </c>
      <c r="CA35" s="225">
        <f t="shared" si="65"/>
        <v>2503.7333455230146</v>
      </c>
      <c r="CB35" s="225"/>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c r="CY35" s="225"/>
      <c r="CZ35" s="225"/>
      <c r="DA35" s="225"/>
      <c r="DB35" s="225"/>
      <c r="DC35" s="225"/>
      <c r="DD35" s="225"/>
      <c r="DE35" s="225"/>
      <c r="DF35" s="225"/>
      <c r="DG35" s="225"/>
      <c r="DH35" s="225"/>
      <c r="DI35" s="225"/>
      <c r="DJ35" s="225"/>
      <c r="DK35" s="225"/>
      <c r="DL35" s="225"/>
      <c r="DM35" s="225"/>
      <c r="DN35" s="225"/>
      <c r="DO35" s="225"/>
    </row>
    <row r="36" spans="2:119" ht="13.5" customHeight="1">
      <c r="B36" s="204" t="s">
        <v>573</v>
      </c>
      <c r="C36" s="223">
        <v>1.7</v>
      </c>
      <c r="D36" s="223">
        <v>-1.5</v>
      </c>
      <c r="E36" s="223">
        <v>1.2</v>
      </c>
      <c r="F36" s="223">
        <v>0.2</v>
      </c>
      <c r="G36" s="223">
        <v>-0.2</v>
      </c>
      <c r="H36" s="223">
        <v>-3.4</v>
      </c>
      <c r="I36" s="223">
        <v>-13</v>
      </c>
      <c r="J36" s="223">
        <v>0.9</v>
      </c>
      <c r="K36" s="223">
        <v>1.4</v>
      </c>
      <c r="L36" s="223">
        <v>0.5</v>
      </c>
      <c r="M36" s="223">
        <v>0.5</v>
      </c>
      <c r="N36" s="223">
        <v>-5.9</v>
      </c>
      <c r="O36" s="223">
        <v>-1.9</v>
      </c>
      <c r="P36" s="223">
        <v>-4.9000000000000004</v>
      </c>
      <c r="Q36" s="223">
        <v>1.6</v>
      </c>
      <c r="R36" s="223">
        <v>0.9</v>
      </c>
      <c r="S36" s="223">
        <v>1.4550000000000001</v>
      </c>
      <c r="T36" s="223">
        <v>-2.7349999999999999</v>
      </c>
      <c r="U36" s="223">
        <v>1.9630000000000001</v>
      </c>
      <c r="V36" s="223">
        <f>3.131-SUM(S36:U36)</f>
        <v>2.4479999999999995</v>
      </c>
      <c r="W36" s="223">
        <v>-1.6339999999999999</v>
      </c>
      <c r="X36" s="223">
        <v>-4.1289999999999996</v>
      </c>
      <c r="Y36" s="223">
        <v>-9.8550000000000004</v>
      </c>
      <c r="Z36" s="223">
        <f>-18.761-SUM(W36:Y36)</f>
        <v>-3.1429999999999989</v>
      </c>
      <c r="AA36" s="223">
        <v>1.5409999999999999</v>
      </c>
      <c r="AB36" s="223">
        <v>1.9</v>
      </c>
      <c r="AC36" s="223">
        <v>-0.249</v>
      </c>
      <c r="AD36" s="223">
        <f>-13.125-SUM(AA36:AC36)</f>
        <v>-16.317</v>
      </c>
      <c r="AE36" s="223">
        <v>-5.1829999999999998</v>
      </c>
      <c r="AF36" s="223">
        <v>2.52</v>
      </c>
      <c r="AG36" s="223">
        <v>5.3</v>
      </c>
      <c r="AH36" s="223">
        <f>5.894-SUM(AE36:AG36)</f>
        <v>3.2570000000000001</v>
      </c>
      <c r="AI36" s="223">
        <v>0.09</v>
      </c>
      <c r="AJ36" s="223">
        <v>0.5</v>
      </c>
      <c r="AK36" s="223">
        <v>4.09</v>
      </c>
      <c r="AL36" s="223">
        <f>-11.3-SUM(AI36:AK36)</f>
        <v>-15.98</v>
      </c>
      <c r="AM36" s="223">
        <v>3.6</v>
      </c>
      <c r="AN36" s="223">
        <v>-17.600000000000001</v>
      </c>
      <c r="AO36" s="223">
        <v>10.3</v>
      </c>
      <c r="AP36" s="223">
        <f>6.86-SUM(AM36:AO36)</f>
        <v>10.560000000000002</v>
      </c>
      <c r="AQ36" s="223">
        <v>4.6349999999999998</v>
      </c>
      <c r="AR36" s="223">
        <v>0.04</v>
      </c>
      <c r="AS36" s="223">
        <v>6.4740000000000002</v>
      </c>
      <c r="AT36" s="223">
        <f>27.438-SUM(AQ36:AS36)</f>
        <v>16.288999999999998</v>
      </c>
      <c r="AU36" s="223">
        <v>9.1039999999999992</v>
      </c>
      <c r="AV36" s="223">
        <v>11.375999999999999</v>
      </c>
      <c r="AW36" s="225">
        <f>AW35*AW47</f>
        <v>17.203444262500003</v>
      </c>
      <c r="AX36" s="225">
        <f>AX35*AX47</f>
        <v>20.040049016999998</v>
      </c>
      <c r="AY36" s="209"/>
      <c r="BG36" s="223">
        <f t="shared" si="34"/>
        <v>1.5999999999999999</v>
      </c>
      <c r="BH36" s="223">
        <f t="shared" si="35"/>
        <v>-15.700000000000001</v>
      </c>
      <c r="BI36" s="223">
        <f t="shared" si="36"/>
        <v>-3.5000000000000004</v>
      </c>
      <c r="BJ36" s="223">
        <f t="shared" si="37"/>
        <v>-4.3000000000000007</v>
      </c>
      <c r="BK36" s="223">
        <f>SUM(S36:V36)</f>
        <v>3.1309999999999998</v>
      </c>
      <c r="BL36" s="223">
        <f>SUM(W36:Z36)</f>
        <v>-18.760999999999999</v>
      </c>
      <c r="BM36" s="223">
        <f>SUM(AA36:AD36)</f>
        <v>-13.125</v>
      </c>
      <c r="BN36" s="223">
        <f>SUM(AE36:AH36)</f>
        <v>5.8940000000000001</v>
      </c>
      <c r="BO36" s="223">
        <f>SUM(AI36:AL36)</f>
        <v>-11.3</v>
      </c>
      <c r="BP36" s="223">
        <f>SUM(AM36:AP36)</f>
        <v>6.8600000000000012</v>
      </c>
      <c r="BQ36" s="223">
        <f t="shared" si="38"/>
        <v>27.437999999999999</v>
      </c>
      <c r="BR36" s="225">
        <f t="shared" ref="BR36:CA36" si="66">BR35*BR47</f>
        <v>51.287218512000017</v>
      </c>
      <c r="BS36" s="225">
        <f t="shared" si="66"/>
        <v>85.785153268011058</v>
      </c>
      <c r="BT36" s="225">
        <f t="shared" si="66"/>
        <v>122.06048614404435</v>
      </c>
      <c r="BU36" s="225">
        <f t="shared" si="66"/>
        <v>159.06982928324729</v>
      </c>
      <c r="BV36" s="225">
        <f t="shared" si="66"/>
        <v>199.73019197550343</v>
      </c>
      <c r="BW36" s="225">
        <f t="shared" si="66"/>
        <v>246.15245072920766</v>
      </c>
      <c r="BX36" s="225">
        <f t="shared" si="66"/>
        <v>309.08851611587551</v>
      </c>
      <c r="BY36" s="225">
        <f t="shared" si="66"/>
        <v>382.1882136176061</v>
      </c>
      <c r="BZ36" s="225">
        <f t="shared" si="66"/>
        <v>468.17694451647429</v>
      </c>
      <c r="CA36" s="225">
        <f t="shared" si="66"/>
        <v>575.85866947029342</v>
      </c>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c r="CY36" s="225"/>
      <c r="CZ36" s="225"/>
      <c r="DA36" s="225"/>
      <c r="DB36" s="225"/>
      <c r="DC36" s="225"/>
      <c r="DD36" s="225"/>
      <c r="DE36" s="225"/>
      <c r="DF36" s="225"/>
      <c r="DG36" s="225"/>
      <c r="DH36" s="225"/>
      <c r="DI36" s="225"/>
      <c r="DJ36" s="225"/>
      <c r="DK36" s="225"/>
      <c r="DL36" s="225"/>
      <c r="DM36" s="225"/>
      <c r="DN36" s="225"/>
      <c r="DO36" s="225"/>
    </row>
    <row r="37" spans="2:119" ht="13.5" customHeight="1">
      <c r="B37" s="204" t="s">
        <v>489</v>
      </c>
      <c r="C37" s="223">
        <v>2.5</v>
      </c>
      <c r="D37" s="223">
        <v>-2.7</v>
      </c>
      <c r="E37" s="223">
        <v>0.9</v>
      </c>
      <c r="F37" s="223">
        <v>1.6</v>
      </c>
      <c r="G37" s="223">
        <v>2.2999999999999998</v>
      </c>
      <c r="H37" s="223">
        <v>3</v>
      </c>
      <c r="I37" s="223">
        <v>11.9</v>
      </c>
      <c r="J37" s="223">
        <v>-2.4</v>
      </c>
      <c r="K37" s="223">
        <v>-3.1</v>
      </c>
      <c r="L37" s="223">
        <v>-1.6</v>
      </c>
      <c r="M37" s="223">
        <v>0.2</v>
      </c>
      <c r="N37" s="223">
        <v>9.1</v>
      </c>
      <c r="O37" s="223">
        <v>5.5</v>
      </c>
      <c r="P37" s="223">
        <v>13.4</v>
      </c>
      <c r="Q37" s="223">
        <v>-22.4</v>
      </c>
      <c r="R37" s="223">
        <v>6.5</v>
      </c>
      <c r="S37" s="223">
        <f t="shared" ref="S37:AN37" si="67">S35-S36</f>
        <v>10.454000000000001</v>
      </c>
      <c r="T37" s="223">
        <f t="shared" si="67"/>
        <v>16.248999999999988</v>
      </c>
      <c r="U37" s="223">
        <f t="shared" si="67"/>
        <v>11</v>
      </c>
      <c r="V37" s="223">
        <f t="shared" si="67"/>
        <v>9.299000000000099</v>
      </c>
      <c r="W37" s="223">
        <f t="shared" si="67"/>
        <v>0.97900000000001319</v>
      </c>
      <c r="X37" s="223">
        <f t="shared" si="67"/>
        <v>-12.880000000000015</v>
      </c>
      <c r="Y37" s="223">
        <f t="shared" si="67"/>
        <v>-9.8940000000000019</v>
      </c>
      <c r="Z37" s="223">
        <f t="shared" si="67"/>
        <v>2.6380000000000088</v>
      </c>
      <c r="AA37" s="223">
        <f t="shared" si="67"/>
        <v>10.922000000000002</v>
      </c>
      <c r="AB37" s="223">
        <f t="shared" si="67"/>
        <v>8.3230000000000217</v>
      </c>
      <c r="AC37" s="223">
        <f t="shared" si="67"/>
        <v>8.0229999999999819</v>
      </c>
      <c r="AD37" s="223">
        <f t="shared" si="67"/>
        <v>-24.645000000000081</v>
      </c>
      <c r="AE37" s="223">
        <f t="shared" si="67"/>
        <v>7.1999999999997399E-2</v>
      </c>
      <c r="AF37" s="223">
        <f t="shared" si="67"/>
        <v>-3.6640000000000068</v>
      </c>
      <c r="AG37" s="223">
        <f t="shared" si="67"/>
        <v>-2.2800000000000034</v>
      </c>
      <c r="AH37" s="223">
        <f t="shared" si="67"/>
        <v>3.869999999999949</v>
      </c>
      <c r="AI37" s="223">
        <f t="shared" si="67"/>
        <v>8.6040000000000401</v>
      </c>
      <c r="AJ37" s="223">
        <f t="shared" si="67"/>
        <v>19.100000000000001</v>
      </c>
      <c r="AK37" s="223">
        <f t="shared" si="67"/>
        <v>9.2099999999999937</v>
      </c>
      <c r="AL37" s="223">
        <f t="shared" si="67"/>
        <v>54.096000000000032</v>
      </c>
      <c r="AM37" s="223">
        <f t="shared" si="67"/>
        <v>11.099999999999989</v>
      </c>
      <c r="AN37" s="223">
        <f t="shared" si="67"/>
        <v>-60.200000000000038</v>
      </c>
      <c r="AO37" s="223">
        <f>AO35-AO36</f>
        <v>29.500000000000032</v>
      </c>
      <c r="AP37" s="223">
        <f t="shared" ref="AP37" si="68">AP35-AP36</f>
        <v>33.590000000000003</v>
      </c>
      <c r="AQ37" s="223">
        <f>AQ35-AQ36</f>
        <v>39.222999999999999</v>
      </c>
      <c r="AR37" s="223">
        <f>AR35-AR36</f>
        <v>45.27</v>
      </c>
      <c r="AS37" s="223">
        <f>AS35-AS36</f>
        <v>45.850999999999999</v>
      </c>
      <c r="AT37" s="223">
        <f t="shared" ref="AT37" si="69">AT35-AT36</f>
        <v>47.342999999999947</v>
      </c>
      <c r="AU37" s="223">
        <f t="shared" ref="AU37:AX37" si="70">AU35-AU36</f>
        <v>32.58400000000001</v>
      </c>
      <c r="AV37" s="223">
        <f t="shared" si="70"/>
        <v>34.810999999999986</v>
      </c>
      <c r="AW37" s="225">
        <f t="shared" si="70"/>
        <v>57.594139487500016</v>
      </c>
      <c r="AX37" s="225">
        <f t="shared" si="70"/>
        <v>67.090598882999984</v>
      </c>
      <c r="AY37" s="209"/>
      <c r="BG37" s="223">
        <f t="shared" si="34"/>
        <v>2.2999999999999998</v>
      </c>
      <c r="BH37" s="223">
        <f t="shared" si="35"/>
        <v>14.799999999999999</v>
      </c>
      <c r="BI37" s="223">
        <f t="shared" si="36"/>
        <v>4.5999999999999996</v>
      </c>
      <c r="BJ37" s="223">
        <f t="shared" si="37"/>
        <v>3</v>
      </c>
      <c r="BK37" s="223">
        <f t="shared" ref="BK37:BO37" si="71">BK35-BK36</f>
        <v>47.001999999999974</v>
      </c>
      <c r="BL37" s="223">
        <f t="shared" si="71"/>
        <v>-19.156999999999893</v>
      </c>
      <c r="BM37" s="223">
        <f t="shared" si="71"/>
        <v>2.6229999999999656</v>
      </c>
      <c r="BN37" s="223">
        <f t="shared" si="71"/>
        <v>-2.0019999999998928</v>
      </c>
      <c r="BO37" s="223">
        <f t="shared" si="71"/>
        <v>91.01</v>
      </c>
      <c r="BP37" s="223">
        <f>BP35-BP36</f>
        <v>13.989999999999876</v>
      </c>
      <c r="BQ37" s="223">
        <f t="shared" si="38"/>
        <v>177.68699999999995</v>
      </c>
      <c r="BR37" s="225">
        <f t="shared" ref="BR37" si="72">BR35-BR36</f>
        <v>205.14887404800007</v>
      </c>
      <c r="BS37" s="225">
        <f t="shared" ref="BS37:CA37" si="73">BS35-BS36</f>
        <v>304.14736158658462</v>
      </c>
      <c r="BT37" s="225">
        <f t="shared" si="73"/>
        <v>408.63727969962667</v>
      </c>
      <c r="BU37" s="225">
        <f t="shared" si="73"/>
        <v>532.53812412217565</v>
      </c>
      <c r="BV37" s="225">
        <f t="shared" si="73"/>
        <v>668.66194704842451</v>
      </c>
      <c r="BW37" s="225">
        <f t="shared" si="73"/>
        <v>824.07559591952122</v>
      </c>
      <c r="BX37" s="225">
        <f t="shared" si="73"/>
        <v>1034.7745974314091</v>
      </c>
      <c r="BY37" s="225">
        <f t="shared" si="73"/>
        <v>1279.4996716763333</v>
      </c>
      <c r="BZ37" s="225">
        <f t="shared" si="73"/>
        <v>1567.3749881638487</v>
      </c>
      <c r="CA37" s="225">
        <f t="shared" si="73"/>
        <v>1927.874676052721</v>
      </c>
      <c r="CB37" s="225"/>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c r="CY37" s="225"/>
      <c r="CZ37" s="225"/>
      <c r="DA37" s="225"/>
      <c r="DB37" s="225"/>
      <c r="DC37" s="225"/>
      <c r="DD37" s="225"/>
      <c r="DE37" s="225"/>
      <c r="DF37" s="225"/>
      <c r="DG37" s="225"/>
      <c r="DH37" s="225"/>
      <c r="DI37" s="225"/>
      <c r="DJ37" s="225"/>
      <c r="DK37" s="225"/>
      <c r="DL37" s="225"/>
      <c r="DM37" s="225"/>
      <c r="DN37" s="225"/>
      <c r="DO37" s="225"/>
    </row>
    <row r="38" spans="2:119" ht="13.5" customHeight="1">
      <c r="B38" s="204" t="s">
        <v>1577</v>
      </c>
      <c r="C38" s="223">
        <v>2</v>
      </c>
      <c r="D38" s="223">
        <v>-2.15</v>
      </c>
      <c r="E38" s="223">
        <v>0.57999999999999996</v>
      </c>
      <c r="F38" s="223">
        <v>0.85</v>
      </c>
      <c r="G38" s="223">
        <v>-0.2</v>
      </c>
      <c r="H38" s="223">
        <v>0</v>
      </c>
      <c r="I38" s="223">
        <v>-0.3</v>
      </c>
      <c r="J38" s="223">
        <v>0</v>
      </c>
      <c r="K38" s="223">
        <v>0</v>
      </c>
      <c r="L38" s="223">
        <v>0</v>
      </c>
      <c r="M38" s="223">
        <v>0</v>
      </c>
      <c r="N38" s="223">
        <v>0</v>
      </c>
      <c r="O38" s="223">
        <v>0</v>
      </c>
      <c r="P38" s="223">
        <v>0</v>
      </c>
      <c r="Q38" s="223">
        <v>-3.5</v>
      </c>
      <c r="R38" s="223">
        <v>-0.02</v>
      </c>
      <c r="S38" s="223">
        <v>-0.24399999999999999</v>
      </c>
      <c r="T38" s="223">
        <v>-0.53700000000000003</v>
      </c>
      <c r="U38" s="223">
        <v>-0.48299999999999998</v>
      </c>
      <c r="V38" s="223">
        <f>-1.454-SUM(S38:U38)</f>
        <v>-0.18999999999999995</v>
      </c>
      <c r="W38" s="223">
        <v>-0.53700000000000003</v>
      </c>
      <c r="X38" s="223">
        <v>-0.94</v>
      </c>
      <c r="Y38" s="223">
        <v>-1.0609999999999999</v>
      </c>
      <c r="Z38" s="223">
        <f>-3.555-SUM(W38:Y38)</f>
        <v>-1.0170000000000003</v>
      </c>
      <c r="AA38" s="223">
        <v>-0.91</v>
      </c>
      <c r="AB38" s="223">
        <v>-0.93200000000000005</v>
      </c>
      <c r="AC38" s="223">
        <v>-0.81899999999999995</v>
      </c>
      <c r="AD38" s="223">
        <f>-2.641-SUM(AA38:AC38)</f>
        <v>2.0000000000000018E-2</v>
      </c>
      <c r="AE38" s="223">
        <v>0</v>
      </c>
      <c r="AF38" s="223">
        <v>0</v>
      </c>
      <c r="AG38" s="223">
        <v>0</v>
      </c>
      <c r="AH38" s="223">
        <v>0</v>
      </c>
      <c r="AI38" s="223">
        <v>0</v>
      </c>
      <c r="AJ38" s="223">
        <v>0</v>
      </c>
      <c r="AK38" s="223">
        <v>0</v>
      </c>
      <c r="AL38" s="223">
        <v>0</v>
      </c>
      <c r="AM38" s="223">
        <v>0</v>
      </c>
      <c r="AN38" s="223">
        <v>0</v>
      </c>
      <c r="AO38" s="223">
        <v>0</v>
      </c>
      <c r="AP38" s="223">
        <v>0</v>
      </c>
      <c r="AQ38" s="223">
        <v>0</v>
      </c>
      <c r="AR38" s="223">
        <v>0</v>
      </c>
      <c r="AS38" s="223">
        <v>0</v>
      </c>
      <c r="AT38" s="223">
        <v>0</v>
      </c>
      <c r="AU38" s="223">
        <v>0</v>
      </c>
      <c r="AV38" s="223">
        <v>0</v>
      </c>
      <c r="AW38" s="225">
        <v>0</v>
      </c>
      <c r="AX38" s="225">
        <v>0</v>
      </c>
      <c r="AY38" s="209"/>
      <c r="BG38" s="223">
        <f t="shared" si="34"/>
        <v>1.28</v>
      </c>
      <c r="BH38" s="223">
        <f t="shared" si="35"/>
        <v>-0.5</v>
      </c>
      <c r="BI38" s="223">
        <f t="shared" si="36"/>
        <v>0</v>
      </c>
      <c r="BJ38" s="223">
        <f t="shared" si="37"/>
        <v>-3.52</v>
      </c>
      <c r="BK38" s="223">
        <f>SUM(S38:V38)</f>
        <v>-1.454</v>
      </c>
      <c r="BL38" s="223">
        <v>-3.5550000000000002</v>
      </c>
      <c r="BM38" s="223">
        <v>-2.661</v>
      </c>
      <c r="BN38" s="223">
        <v>0</v>
      </c>
      <c r="BO38" s="223">
        <v>0</v>
      </c>
      <c r="BP38" s="223">
        <v>0</v>
      </c>
      <c r="BQ38" s="223">
        <f t="shared" si="38"/>
        <v>0</v>
      </c>
      <c r="BR38" s="225">
        <v>0</v>
      </c>
      <c r="BS38" s="225">
        <v>0</v>
      </c>
      <c r="BT38" s="225">
        <v>0</v>
      </c>
      <c r="BU38" s="225">
        <v>0</v>
      </c>
      <c r="BV38" s="225">
        <v>0</v>
      </c>
      <c r="BW38" s="225">
        <v>0</v>
      </c>
      <c r="BX38" s="225">
        <v>0</v>
      </c>
      <c r="BY38" s="225">
        <v>0</v>
      </c>
      <c r="BZ38" s="225">
        <v>0</v>
      </c>
      <c r="CA38" s="225">
        <v>0</v>
      </c>
      <c r="CB38" s="225"/>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c r="CY38" s="225"/>
      <c r="CZ38" s="225"/>
      <c r="DA38" s="225"/>
      <c r="DB38" s="225"/>
      <c r="DC38" s="225"/>
      <c r="DD38" s="225"/>
      <c r="DE38" s="225"/>
      <c r="DF38" s="225"/>
      <c r="DG38" s="225"/>
      <c r="DH38" s="225"/>
      <c r="DI38" s="225"/>
      <c r="DJ38" s="225"/>
      <c r="DK38" s="225"/>
      <c r="DL38" s="225"/>
      <c r="DM38" s="225"/>
      <c r="DN38" s="225"/>
      <c r="DO38" s="225"/>
    </row>
    <row r="39" spans="2:119" s="210" customFormat="1" ht="13.5" customHeight="1">
      <c r="B39" s="210" t="s">
        <v>490</v>
      </c>
      <c r="C39" s="206">
        <f>C37-C38</f>
        <v>0.5</v>
      </c>
      <c r="D39" s="206">
        <f t="shared" ref="D39:R39" si="74">D37-D38</f>
        <v>-0.55000000000000027</v>
      </c>
      <c r="E39" s="206">
        <f t="shared" si="74"/>
        <v>0.32000000000000006</v>
      </c>
      <c r="F39" s="206">
        <f t="shared" si="74"/>
        <v>0.75000000000000011</v>
      </c>
      <c r="G39" s="206">
        <f t="shared" si="74"/>
        <v>2.5</v>
      </c>
      <c r="H39" s="206">
        <f t="shared" si="74"/>
        <v>3</v>
      </c>
      <c r="I39" s="206">
        <f t="shared" si="74"/>
        <v>12.200000000000001</v>
      </c>
      <c r="J39" s="206">
        <f t="shared" si="74"/>
        <v>-2.4</v>
      </c>
      <c r="K39" s="206">
        <f t="shared" si="74"/>
        <v>-3.1</v>
      </c>
      <c r="L39" s="206">
        <f t="shared" si="74"/>
        <v>-1.6</v>
      </c>
      <c r="M39" s="206">
        <f t="shared" si="74"/>
        <v>0.2</v>
      </c>
      <c r="N39" s="206">
        <f t="shared" si="74"/>
        <v>9.1</v>
      </c>
      <c r="O39" s="206">
        <f t="shared" si="74"/>
        <v>5.5</v>
      </c>
      <c r="P39" s="206">
        <f t="shared" si="74"/>
        <v>13.4</v>
      </c>
      <c r="Q39" s="206">
        <f t="shared" si="74"/>
        <v>-18.899999999999999</v>
      </c>
      <c r="R39" s="206">
        <f t="shared" si="74"/>
        <v>6.52</v>
      </c>
      <c r="S39" s="206">
        <f>S37-S38</f>
        <v>10.698</v>
      </c>
      <c r="T39" s="206">
        <f>T37-T38</f>
        <v>16.785999999999987</v>
      </c>
      <c r="U39" s="206">
        <f>U37-U38</f>
        <v>11.483000000000001</v>
      </c>
      <c r="V39" s="206">
        <f>V37-V38</f>
        <v>9.4890000000000985</v>
      </c>
      <c r="W39" s="206">
        <f>W37-W38</f>
        <v>1.5160000000000133</v>
      </c>
      <c r="X39" s="206">
        <f t="shared" ref="X39:AR39" si="75">X37-X38</f>
        <v>-11.940000000000015</v>
      </c>
      <c r="Y39" s="206">
        <f t="shared" si="75"/>
        <v>-8.833000000000002</v>
      </c>
      <c r="Z39" s="206">
        <f t="shared" si="75"/>
        <v>3.6550000000000091</v>
      </c>
      <c r="AA39" s="206">
        <f t="shared" si="75"/>
        <v>11.832000000000003</v>
      </c>
      <c r="AB39" s="206">
        <f t="shared" si="75"/>
        <v>9.2550000000000221</v>
      </c>
      <c r="AC39" s="206">
        <f t="shared" si="75"/>
        <v>8.841999999999981</v>
      </c>
      <c r="AD39" s="206">
        <f t="shared" si="75"/>
        <v>-24.665000000000081</v>
      </c>
      <c r="AE39" s="206">
        <f t="shared" si="75"/>
        <v>7.1999999999997399E-2</v>
      </c>
      <c r="AF39" s="206">
        <f t="shared" si="75"/>
        <v>-3.6640000000000068</v>
      </c>
      <c r="AG39" s="206">
        <f t="shared" si="75"/>
        <v>-2.2800000000000034</v>
      </c>
      <c r="AH39" s="206">
        <f t="shared" si="75"/>
        <v>3.869999999999949</v>
      </c>
      <c r="AI39" s="206">
        <f t="shared" si="75"/>
        <v>8.6040000000000401</v>
      </c>
      <c r="AJ39" s="206">
        <f t="shared" si="75"/>
        <v>19.100000000000001</v>
      </c>
      <c r="AK39" s="206">
        <f t="shared" si="75"/>
        <v>9.2099999999999937</v>
      </c>
      <c r="AL39" s="206">
        <f t="shared" si="75"/>
        <v>54.096000000000032</v>
      </c>
      <c r="AM39" s="206">
        <f t="shared" si="75"/>
        <v>11.099999999999989</v>
      </c>
      <c r="AN39" s="206">
        <f t="shared" si="75"/>
        <v>-60.200000000000038</v>
      </c>
      <c r="AO39" s="206">
        <f t="shared" si="75"/>
        <v>29.500000000000032</v>
      </c>
      <c r="AP39" s="206">
        <f t="shared" si="75"/>
        <v>33.590000000000003</v>
      </c>
      <c r="AQ39" s="206">
        <f t="shared" si="75"/>
        <v>39.222999999999999</v>
      </c>
      <c r="AR39" s="206">
        <f t="shared" si="75"/>
        <v>45.27</v>
      </c>
      <c r="AS39" s="206">
        <f t="shared" ref="AS39:AV39" si="76">AS37-AS38</f>
        <v>45.850999999999999</v>
      </c>
      <c r="AT39" s="206">
        <f t="shared" si="76"/>
        <v>47.342999999999947</v>
      </c>
      <c r="AU39" s="206">
        <f t="shared" si="76"/>
        <v>32.58400000000001</v>
      </c>
      <c r="AV39" s="206">
        <f t="shared" si="76"/>
        <v>34.810999999999986</v>
      </c>
      <c r="AW39" s="224">
        <v>48.28</v>
      </c>
      <c r="AX39" s="224">
        <v>56.5</v>
      </c>
      <c r="AY39" s="224"/>
      <c r="AZ39" s="208"/>
      <c r="BA39" s="208"/>
      <c r="BB39" s="208"/>
      <c r="BG39" s="206">
        <f t="shared" si="34"/>
        <v>1.02</v>
      </c>
      <c r="BH39" s="206">
        <f t="shared" si="35"/>
        <v>15.300000000000002</v>
      </c>
      <c r="BI39" s="206">
        <f t="shared" si="36"/>
        <v>4.5999999999999996</v>
      </c>
      <c r="BJ39" s="206">
        <f t="shared" si="37"/>
        <v>6.52</v>
      </c>
      <c r="BK39" s="206">
        <f t="shared" ref="BK39:BO39" si="77">BK37-BK38</f>
        <v>48.455999999999975</v>
      </c>
      <c r="BL39" s="206">
        <f t="shared" si="77"/>
        <v>-15.601999999999894</v>
      </c>
      <c r="BM39" s="206">
        <f t="shared" si="77"/>
        <v>5.2839999999999652</v>
      </c>
      <c r="BN39" s="206">
        <f t="shared" si="77"/>
        <v>-2.0019999999998928</v>
      </c>
      <c r="BO39" s="206">
        <f t="shared" si="77"/>
        <v>91.01</v>
      </c>
      <c r="BP39" s="206">
        <f>BP37-BP38</f>
        <v>13.989999999999876</v>
      </c>
      <c r="BQ39" s="206">
        <f t="shared" si="38"/>
        <v>177.68699999999995</v>
      </c>
      <c r="BR39" s="224">
        <f>BR37-BR38</f>
        <v>205.14887404800007</v>
      </c>
      <c r="BS39" s="224">
        <f t="shared" ref="BS39:CA39" si="78">BS37-BS38</f>
        <v>304.14736158658462</v>
      </c>
      <c r="BT39" s="224">
        <f t="shared" si="78"/>
        <v>408.63727969962667</v>
      </c>
      <c r="BU39" s="224">
        <f t="shared" si="78"/>
        <v>532.53812412217565</v>
      </c>
      <c r="BV39" s="224">
        <f t="shared" si="78"/>
        <v>668.66194704842451</v>
      </c>
      <c r="BW39" s="224">
        <f t="shared" si="78"/>
        <v>824.07559591952122</v>
      </c>
      <c r="BX39" s="224">
        <f t="shared" si="78"/>
        <v>1034.7745974314091</v>
      </c>
      <c r="BY39" s="224">
        <f t="shared" si="78"/>
        <v>1279.4996716763333</v>
      </c>
      <c r="BZ39" s="224">
        <f t="shared" si="78"/>
        <v>1567.3749881638487</v>
      </c>
      <c r="CA39" s="224">
        <f t="shared" si="78"/>
        <v>1927.874676052721</v>
      </c>
      <c r="CB39" s="224">
        <f t="shared" ref="CB39:DO39" si="79">CA39*(1+$CA$54)</f>
        <v>1977.0354802920656</v>
      </c>
      <c r="CC39" s="224">
        <f t="shared" si="79"/>
        <v>2027.4498850395134</v>
      </c>
      <c r="CD39" s="224">
        <f t="shared" si="79"/>
        <v>2079.149857108021</v>
      </c>
      <c r="CE39" s="224">
        <f t="shared" si="79"/>
        <v>2132.1681784642756</v>
      </c>
      <c r="CF39" s="224">
        <f t="shared" si="79"/>
        <v>2186.5384670151147</v>
      </c>
      <c r="CG39" s="224">
        <f t="shared" si="79"/>
        <v>2242.2951979240001</v>
      </c>
      <c r="CH39" s="224">
        <f t="shared" si="79"/>
        <v>2299.4737254710622</v>
      </c>
      <c r="CI39" s="224">
        <f t="shared" si="79"/>
        <v>2358.1103054705745</v>
      </c>
      <c r="CJ39" s="224">
        <f t="shared" si="79"/>
        <v>2418.2421182600742</v>
      </c>
      <c r="CK39" s="224">
        <f t="shared" si="79"/>
        <v>2479.9072922757064</v>
      </c>
      <c r="CL39" s="224">
        <f t="shared" si="79"/>
        <v>2543.1449282287372</v>
      </c>
      <c r="CM39" s="224">
        <f t="shared" si="79"/>
        <v>2607.99512389857</v>
      </c>
      <c r="CN39" s="224">
        <f t="shared" si="79"/>
        <v>2674.4989995579836</v>
      </c>
      <c r="CO39" s="224">
        <f t="shared" si="79"/>
        <v>2742.6987240467124</v>
      </c>
      <c r="CP39" s="224">
        <f t="shared" si="79"/>
        <v>2812.6375415099037</v>
      </c>
      <c r="CQ39" s="224">
        <f t="shared" si="79"/>
        <v>2884.3597988184065</v>
      </c>
      <c r="CR39" s="224">
        <f t="shared" si="79"/>
        <v>2957.910973688276</v>
      </c>
      <c r="CS39" s="224">
        <f t="shared" si="79"/>
        <v>3033.3377035173271</v>
      </c>
      <c r="CT39" s="224">
        <f t="shared" si="79"/>
        <v>3110.6878149570193</v>
      </c>
      <c r="CU39" s="224">
        <f t="shared" si="79"/>
        <v>3190.0103542384236</v>
      </c>
      <c r="CV39" s="224">
        <f t="shared" si="79"/>
        <v>3271.3556182715038</v>
      </c>
      <c r="CW39" s="224">
        <f t="shared" si="79"/>
        <v>3354.7751865374275</v>
      </c>
      <c r="CX39" s="224">
        <f t="shared" si="79"/>
        <v>3440.3219537941322</v>
      </c>
      <c r="CY39" s="224">
        <f t="shared" si="79"/>
        <v>3528.0501636158829</v>
      </c>
      <c r="CZ39" s="224">
        <f t="shared" si="79"/>
        <v>3618.015442788088</v>
      </c>
      <c r="DA39" s="224">
        <f t="shared" si="79"/>
        <v>3710.2748365791845</v>
      </c>
      <c r="DB39" s="224">
        <f t="shared" si="79"/>
        <v>3804.8868449119541</v>
      </c>
      <c r="DC39" s="224">
        <f t="shared" si="79"/>
        <v>3901.9114594572093</v>
      </c>
      <c r="DD39" s="224">
        <f t="shared" si="79"/>
        <v>4001.4102016733682</v>
      </c>
      <c r="DE39" s="224">
        <f t="shared" si="79"/>
        <v>4103.4461618160394</v>
      </c>
      <c r="DF39" s="224">
        <f t="shared" si="79"/>
        <v>4208.0840389423483</v>
      </c>
      <c r="DG39" s="224">
        <f t="shared" si="79"/>
        <v>4315.3901819353787</v>
      </c>
      <c r="DH39" s="224">
        <f t="shared" si="79"/>
        <v>4425.4326315747312</v>
      </c>
      <c r="DI39" s="224">
        <f t="shared" si="79"/>
        <v>4538.281163679887</v>
      </c>
      <c r="DJ39" s="224">
        <f t="shared" si="79"/>
        <v>4654.0073333537248</v>
      </c>
      <c r="DK39" s="224">
        <f t="shared" si="79"/>
        <v>4772.6845203542453</v>
      </c>
      <c r="DL39" s="224">
        <f t="shared" si="79"/>
        <v>4894.3879756232791</v>
      </c>
      <c r="DM39" s="224">
        <f t="shared" si="79"/>
        <v>5019.1948690016734</v>
      </c>
      <c r="DN39" s="224">
        <f t="shared" si="79"/>
        <v>5147.1843381612161</v>
      </c>
      <c r="DO39" s="224">
        <f t="shared" si="79"/>
        <v>5278.4375387843274</v>
      </c>
    </row>
    <row r="40" spans="2:119" ht="13.5" customHeight="1">
      <c r="B40" s="204" t="s">
        <v>295</v>
      </c>
      <c r="C40" s="223">
        <v>5</v>
      </c>
      <c r="D40" s="223">
        <v>5</v>
      </c>
      <c r="E40" s="223">
        <v>8</v>
      </c>
      <c r="F40" s="223">
        <v>12</v>
      </c>
      <c r="G40" s="223">
        <v>30</v>
      </c>
      <c r="H40" s="223">
        <v>30</v>
      </c>
      <c r="I40" s="223">
        <v>31</v>
      </c>
      <c r="J40" s="223">
        <v>30</v>
      </c>
      <c r="K40" s="223">
        <v>32</v>
      </c>
      <c r="L40" s="223">
        <v>33</v>
      </c>
      <c r="M40" s="223">
        <v>33</v>
      </c>
      <c r="N40" s="223">
        <v>33</v>
      </c>
      <c r="O40" s="223">
        <v>34</v>
      </c>
      <c r="P40" s="223">
        <v>34</v>
      </c>
      <c r="Q40" s="223">
        <v>34</v>
      </c>
      <c r="R40" s="223">
        <v>34</v>
      </c>
      <c r="S40" s="223">
        <v>34.506999999999998</v>
      </c>
      <c r="T40" s="223">
        <v>34.694000000000003</v>
      </c>
      <c r="U40" s="223">
        <v>34.840000000000003</v>
      </c>
      <c r="V40" s="223">
        <v>35</v>
      </c>
      <c r="W40" s="223">
        <v>35</v>
      </c>
      <c r="X40" s="223">
        <v>35.4</v>
      </c>
      <c r="Y40" s="223">
        <v>36.207000000000001</v>
      </c>
      <c r="Z40" s="223">
        <v>37.651000000000003</v>
      </c>
      <c r="AA40" s="223">
        <v>36.454999999999998</v>
      </c>
      <c r="AB40" s="223">
        <v>36.523000000000003</v>
      </c>
      <c r="AC40" s="223">
        <v>36.616999999999997</v>
      </c>
      <c r="AD40" s="223">
        <v>36.700000000000003</v>
      </c>
      <c r="AE40" s="223">
        <v>37.646000000000001</v>
      </c>
      <c r="AF40" s="223">
        <v>37.767000000000003</v>
      </c>
      <c r="AG40" s="223">
        <v>37.917999999999999</v>
      </c>
      <c r="AH40" s="223">
        <v>37.841000000000001</v>
      </c>
      <c r="AI40" s="223">
        <v>39.07</v>
      </c>
      <c r="AJ40" s="223">
        <v>38.15</v>
      </c>
      <c r="AK40" s="223">
        <v>38.956000000000003</v>
      </c>
      <c r="AL40" s="223">
        <v>38.4</v>
      </c>
      <c r="AM40" s="223">
        <v>39.299999999999997</v>
      </c>
      <c r="AN40" s="223">
        <v>38.799999999999997</v>
      </c>
      <c r="AO40" s="223">
        <v>38.6</v>
      </c>
      <c r="AP40" s="223">
        <v>38.630000000000003</v>
      </c>
      <c r="AQ40" s="223">
        <v>38.561999999999998</v>
      </c>
      <c r="AR40" s="223">
        <v>38.834000000000003</v>
      </c>
      <c r="AS40" s="223">
        <v>39.078000000000003</v>
      </c>
      <c r="AT40" s="223">
        <v>38.630000000000003</v>
      </c>
      <c r="AU40" s="223">
        <v>39.274999999999999</v>
      </c>
      <c r="AV40" s="204">
        <v>39.353000000000002</v>
      </c>
      <c r="AW40" s="209"/>
      <c r="AX40" s="209"/>
      <c r="AY40" s="209"/>
      <c r="BG40" s="223">
        <v>12</v>
      </c>
      <c r="BH40" s="223">
        <v>31</v>
      </c>
      <c r="BI40" s="223">
        <v>33</v>
      </c>
      <c r="BJ40" s="223">
        <v>34</v>
      </c>
      <c r="BK40" s="223">
        <v>34.799999999999997</v>
      </c>
      <c r="BL40" s="223">
        <v>35.5</v>
      </c>
      <c r="BM40" s="223">
        <f>AD40</f>
        <v>36.700000000000003</v>
      </c>
      <c r="BN40" s="223">
        <f>AH40</f>
        <v>37.841000000000001</v>
      </c>
      <c r="BO40" s="223">
        <f>AL40</f>
        <v>38.4</v>
      </c>
      <c r="BP40" s="223">
        <f>AP40</f>
        <v>38.630000000000003</v>
      </c>
      <c r="BQ40" s="223">
        <f>AVERAGE(AQ40:AT40)</f>
        <v>38.776000000000003</v>
      </c>
      <c r="BR40" s="225">
        <f>BQ40*1.05</f>
        <v>40.714800000000004</v>
      </c>
      <c r="BS40" s="225">
        <f t="shared" ref="BS40:CA40" si="80">BR40*1.05</f>
        <v>42.750540000000008</v>
      </c>
      <c r="BT40" s="225">
        <f t="shared" si="80"/>
        <v>44.888067000000014</v>
      </c>
      <c r="BU40" s="225">
        <f t="shared" si="80"/>
        <v>47.13247035000002</v>
      </c>
      <c r="BV40" s="225">
        <f t="shared" si="80"/>
        <v>49.489093867500024</v>
      </c>
      <c r="BW40" s="225">
        <f t="shared" si="80"/>
        <v>51.963548560875026</v>
      </c>
      <c r="BX40" s="225">
        <f t="shared" si="80"/>
        <v>54.561725988918781</v>
      </c>
      <c r="BY40" s="225">
        <f t="shared" si="80"/>
        <v>57.289812288364722</v>
      </c>
      <c r="BZ40" s="225">
        <f t="shared" si="80"/>
        <v>60.154302902782959</v>
      </c>
      <c r="CA40" s="225">
        <f t="shared" si="80"/>
        <v>63.16201804792211</v>
      </c>
      <c r="CB40" s="225"/>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c r="CY40" s="225"/>
      <c r="CZ40" s="225"/>
      <c r="DA40" s="225"/>
      <c r="DB40" s="225"/>
      <c r="DC40" s="225"/>
      <c r="DD40" s="225"/>
      <c r="DE40" s="225"/>
      <c r="DF40" s="225"/>
      <c r="DG40" s="225"/>
      <c r="DH40" s="225"/>
      <c r="DI40" s="225"/>
      <c r="DJ40" s="225"/>
      <c r="DK40" s="225"/>
      <c r="DL40" s="225"/>
      <c r="DM40" s="225"/>
      <c r="DN40" s="225"/>
      <c r="DO40" s="225"/>
    </row>
    <row r="41" spans="2:119" ht="13.5" customHeight="1">
      <c r="B41" s="204" t="s">
        <v>296</v>
      </c>
      <c r="C41" s="226">
        <f t="shared" ref="C41:R41" si="81">C39/C40</f>
        <v>0.1</v>
      </c>
      <c r="D41" s="226">
        <f t="shared" si="81"/>
        <v>-0.11000000000000006</v>
      </c>
      <c r="E41" s="226">
        <f t="shared" si="81"/>
        <v>4.0000000000000008E-2</v>
      </c>
      <c r="F41" s="226">
        <f t="shared" si="81"/>
        <v>6.2500000000000014E-2</v>
      </c>
      <c r="G41" s="226">
        <f t="shared" si="81"/>
        <v>8.3333333333333329E-2</v>
      </c>
      <c r="H41" s="226">
        <f t="shared" si="81"/>
        <v>0.1</v>
      </c>
      <c r="I41" s="226">
        <f t="shared" si="81"/>
        <v>0.39354838709677425</v>
      </c>
      <c r="J41" s="226">
        <f t="shared" si="81"/>
        <v>-0.08</v>
      </c>
      <c r="K41" s="226">
        <f t="shared" si="81"/>
        <v>-9.6875000000000003E-2</v>
      </c>
      <c r="L41" s="226">
        <f t="shared" si="81"/>
        <v>-4.8484848484848485E-2</v>
      </c>
      <c r="M41" s="226">
        <f t="shared" si="81"/>
        <v>6.0606060606060606E-3</v>
      </c>
      <c r="N41" s="226">
        <f t="shared" si="81"/>
        <v>0.27575757575757576</v>
      </c>
      <c r="O41" s="226">
        <f t="shared" si="81"/>
        <v>0.16176470588235295</v>
      </c>
      <c r="P41" s="226">
        <f t="shared" si="81"/>
        <v>0.39411764705882352</v>
      </c>
      <c r="Q41" s="226">
        <f t="shared" si="81"/>
        <v>-0.55588235294117638</v>
      </c>
      <c r="R41" s="226">
        <f t="shared" si="81"/>
        <v>0.19176470588235292</v>
      </c>
      <c r="S41" s="226">
        <f>S39/S40</f>
        <v>0.31002405309067727</v>
      </c>
      <c r="T41" s="226">
        <f>T39/T40</f>
        <v>0.4838300570703864</v>
      </c>
      <c r="U41" s="226">
        <f>U39/U40</f>
        <v>0.32959242250287024</v>
      </c>
      <c r="V41" s="226">
        <f>V39/V40</f>
        <v>0.27111428571428853</v>
      </c>
      <c r="W41" s="226">
        <f>W39/W40</f>
        <v>4.3314285714286097E-2</v>
      </c>
      <c r="X41" s="226">
        <f t="shared" ref="X41:AO41" si="82">X39/X40</f>
        <v>-0.33728813559322079</v>
      </c>
      <c r="Y41" s="226">
        <f t="shared" si="82"/>
        <v>-0.24395835059518883</v>
      </c>
      <c r="Z41" s="226">
        <f t="shared" si="82"/>
        <v>9.70757748798175E-2</v>
      </c>
      <c r="AA41" s="226">
        <f t="shared" si="82"/>
        <v>0.32456453161431909</v>
      </c>
      <c r="AB41" s="226">
        <f t="shared" si="82"/>
        <v>0.25340196588451169</v>
      </c>
      <c r="AC41" s="226">
        <f t="shared" si="82"/>
        <v>0.24147254007701291</v>
      </c>
      <c r="AD41" s="226">
        <f t="shared" si="82"/>
        <v>-0.67207084468665068</v>
      </c>
      <c r="AE41" s="226">
        <f t="shared" si="82"/>
        <v>1.9125537905752908E-3</v>
      </c>
      <c r="AF41" s="226">
        <f t="shared" si="82"/>
        <v>-9.7015913363518586E-2</v>
      </c>
      <c r="AG41" s="226">
        <f t="shared" si="82"/>
        <v>-6.01297536789916E-2</v>
      </c>
      <c r="AH41" s="226">
        <f t="shared" si="82"/>
        <v>0.10227002457651618</v>
      </c>
      <c r="AI41" s="226">
        <f t="shared" si="82"/>
        <v>0.22022011773739544</v>
      </c>
      <c r="AJ41" s="226">
        <f t="shared" si="82"/>
        <v>0.50065530799475755</v>
      </c>
      <c r="AK41" s="226">
        <f t="shared" si="82"/>
        <v>0.23642057706129974</v>
      </c>
      <c r="AL41" s="226">
        <f t="shared" si="82"/>
        <v>1.4087500000000008</v>
      </c>
      <c r="AM41" s="226">
        <f t="shared" si="82"/>
        <v>0.2824427480916028</v>
      </c>
      <c r="AN41" s="226">
        <f t="shared" si="82"/>
        <v>-1.5515463917525785</v>
      </c>
      <c r="AO41" s="226">
        <f t="shared" si="82"/>
        <v>0.76424870466321326</v>
      </c>
      <c r="AP41" s="226">
        <f>AP39/AP40</f>
        <v>0.86953145223919237</v>
      </c>
      <c r="AQ41" s="226">
        <f t="shared" ref="AQ41:AS41" si="83">AQ39/AQ40</f>
        <v>1.0171412271147762</v>
      </c>
      <c r="AR41" s="226">
        <f t="shared" si="83"/>
        <v>1.1657310604109801</v>
      </c>
      <c r="AS41" s="226">
        <f t="shared" si="83"/>
        <v>1.1733200266134396</v>
      </c>
      <c r="AT41" s="226">
        <f>AT39/AT40</f>
        <v>1.2255500906031567</v>
      </c>
      <c r="AU41" s="226">
        <f t="shared" ref="AU41:AV41" si="84">AU39/AU40</f>
        <v>0.82963717377466606</v>
      </c>
      <c r="AV41" s="226">
        <f t="shared" si="84"/>
        <v>0.88458313216273177</v>
      </c>
      <c r="BG41" s="226">
        <f>BG39/BG40</f>
        <v>8.5000000000000006E-2</v>
      </c>
      <c r="BH41" s="226">
        <f t="shared" ref="BH41:CA41" si="85">BH39/BH40</f>
        <v>0.49354838709677429</v>
      </c>
      <c r="BI41" s="226">
        <f t="shared" si="85"/>
        <v>0.13939393939393938</v>
      </c>
      <c r="BJ41" s="226">
        <f t="shared" si="85"/>
        <v>0.19176470588235292</v>
      </c>
      <c r="BK41" s="226">
        <f t="shared" si="85"/>
        <v>1.3924137931034477</v>
      </c>
      <c r="BL41" s="226">
        <f t="shared" si="85"/>
        <v>-0.4394929577464759</v>
      </c>
      <c r="BM41" s="226">
        <f t="shared" si="85"/>
        <v>0.14397820163487643</v>
      </c>
      <c r="BN41" s="226">
        <f t="shared" si="85"/>
        <v>-5.2905578605213728E-2</v>
      </c>
      <c r="BO41" s="226">
        <f t="shared" si="85"/>
        <v>2.3700520833333334</v>
      </c>
      <c r="BP41" s="226">
        <f t="shared" si="85"/>
        <v>0.36215376650271486</v>
      </c>
      <c r="BQ41" s="226">
        <f t="shared" si="38"/>
        <v>4.5817424047423518</v>
      </c>
      <c r="BR41" s="227">
        <f t="shared" si="85"/>
        <v>5.0386806283710115</v>
      </c>
      <c r="BS41" s="227">
        <f t="shared" si="85"/>
        <v>7.1144682988000749</v>
      </c>
      <c r="BT41" s="227">
        <f t="shared" si="85"/>
        <v>9.1034724150546857</v>
      </c>
      <c r="BU41" s="227">
        <f t="shared" si="85"/>
        <v>11.298752646903759</v>
      </c>
      <c r="BV41" s="227">
        <f t="shared" si="85"/>
        <v>13.511299051841023</v>
      </c>
      <c r="BW41" s="227">
        <f t="shared" si="85"/>
        <v>15.858724408594247</v>
      </c>
      <c r="BX41" s="227">
        <f t="shared" si="85"/>
        <v>18.965210111600332</v>
      </c>
      <c r="BY41" s="227">
        <f t="shared" si="85"/>
        <v>22.333808064094377</v>
      </c>
      <c r="BZ41" s="227">
        <f t="shared" si="85"/>
        <v>26.055908098493418</v>
      </c>
      <c r="CA41" s="227">
        <f t="shared" si="85"/>
        <v>30.522689673879789</v>
      </c>
    </row>
    <row r="42" spans="2:119" ht="13.5" customHeight="1">
      <c r="B42" s="216"/>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BK42" s="217"/>
      <c r="BL42" s="217"/>
      <c r="BM42" s="217"/>
      <c r="BN42" s="217"/>
      <c r="BO42" s="217"/>
      <c r="BP42" s="217"/>
      <c r="BQ42" s="217"/>
    </row>
    <row r="43" spans="2:119" ht="13.5" customHeight="1">
      <c r="B43" s="204" t="s">
        <v>477</v>
      </c>
      <c r="C43" s="217">
        <f t="shared" ref="C43:AR43" si="86">C28/C26</f>
        <v>0.68717948717948718</v>
      </c>
      <c r="D43" s="217">
        <f t="shared" si="86"/>
        <v>0.64775413711583929</v>
      </c>
      <c r="E43" s="217">
        <f t="shared" si="86"/>
        <v>0.66468253968253965</v>
      </c>
      <c r="F43" s="217">
        <f t="shared" si="86"/>
        <v>0.66911764705882348</v>
      </c>
      <c r="G43" s="217">
        <f t="shared" si="86"/>
        <v>0.68911917098445596</v>
      </c>
      <c r="H43" s="217">
        <f t="shared" si="86"/>
        <v>0.63748079877112129</v>
      </c>
      <c r="I43" s="217">
        <f t="shared" si="86"/>
        <v>0.63839285714285721</v>
      </c>
      <c r="J43" s="217">
        <f t="shared" si="86"/>
        <v>0.63748290013679887</v>
      </c>
      <c r="K43" s="217">
        <f t="shared" si="86"/>
        <v>0.65163934426229508</v>
      </c>
      <c r="L43" s="217">
        <f t="shared" si="86"/>
        <v>0.63151364764267981</v>
      </c>
      <c r="M43" s="217">
        <f t="shared" si="86"/>
        <v>0.65315852205005964</v>
      </c>
      <c r="N43" s="217">
        <f t="shared" si="86"/>
        <v>0.66389177939646205</v>
      </c>
      <c r="O43" s="217">
        <f t="shared" si="86"/>
        <v>0.6484907497565725</v>
      </c>
      <c r="P43" s="217">
        <f t="shared" si="86"/>
        <v>0.65875912408759119</v>
      </c>
      <c r="Q43" s="217">
        <f t="shared" si="86"/>
        <v>0.67084078711985695</v>
      </c>
      <c r="R43" s="217">
        <f t="shared" si="86"/>
        <v>0.65149006622516548</v>
      </c>
      <c r="S43" s="217">
        <f t="shared" si="86"/>
        <v>0.65330623875925542</v>
      </c>
      <c r="T43" s="217">
        <f t="shared" si="86"/>
        <v>0.69990536583184926</v>
      </c>
      <c r="U43" s="217">
        <f t="shared" si="86"/>
        <v>0.6881478401743345</v>
      </c>
      <c r="V43" s="217">
        <f t="shared" si="86"/>
        <v>0.67551510728963748</v>
      </c>
      <c r="W43" s="217">
        <f t="shared" si="86"/>
        <v>0.64093226511289147</v>
      </c>
      <c r="X43" s="217">
        <f t="shared" si="86"/>
        <v>0.61750713606089436</v>
      </c>
      <c r="Y43" s="217">
        <f t="shared" si="86"/>
        <v>0.60189940436796829</v>
      </c>
      <c r="Z43" s="217">
        <f t="shared" si="86"/>
        <v>0.56513611963190191</v>
      </c>
      <c r="AA43" s="217">
        <f t="shared" si="86"/>
        <v>0.65799645390070927</v>
      </c>
      <c r="AB43" s="217">
        <f t="shared" si="86"/>
        <v>0.64405860010851879</v>
      </c>
      <c r="AC43" s="217">
        <f t="shared" si="86"/>
        <v>0.6307206733298264</v>
      </c>
      <c r="AD43" s="217">
        <f t="shared" si="86"/>
        <v>0.61497622432472154</v>
      </c>
      <c r="AE43" s="217">
        <f t="shared" si="86"/>
        <v>0.62481608631682195</v>
      </c>
      <c r="AF43" s="217">
        <f t="shared" si="86"/>
        <v>0.64330292846855497</v>
      </c>
      <c r="AG43" s="217">
        <f t="shared" si="86"/>
        <v>0.63313055685540476</v>
      </c>
      <c r="AH43" s="217">
        <f t="shared" si="86"/>
        <v>0.6260684436770283</v>
      </c>
      <c r="AI43" s="217">
        <f t="shared" si="86"/>
        <v>0.62593206296603154</v>
      </c>
      <c r="AJ43" s="217">
        <f t="shared" si="86"/>
        <v>0.63824091778202674</v>
      </c>
      <c r="AK43" s="217">
        <f t="shared" si="86"/>
        <v>0.65596160944998161</v>
      </c>
      <c r="AL43" s="217">
        <f t="shared" si="86"/>
        <v>0.65650463613374543</v>
      </c>
      <c r="AM43" s="217">
        <f t="shared" si="86"/>
        <v>0.65016146393972007</v>
      </c>
      <c r="AN43" s="217">
        <f t="shared" si="86"/>
        <v>0.54375417501670009</v>
      </c>
      <c r="AO43" s="217">
        <f t="shared" si="86"/>
        <v>0.6654485049833887</v>
      </c>
      <c r="AP43" s="217">
        <f t="shared" si="86"/>
        <v>0.66782884310618063</v>
      </c>
      <c r="AQ43" s="217">
        <f t="shared" si="86"/>
        <v>0.66601777009933971</v>
      </c>
      <c r="AR43" s="217">
        <f t="shared" si="86"/>
        <v>0.65991073927324684</v>
      </c>
      <c r="AS43" s="217">
        <v>0.67</v>
      </c>
      <c r="AT43" s="217">
        <f>AT28/AT26</f>
        <v>0.68017177627567238</v>
      </c>
      <c r="AU43" s="217">
        <v>0.67800000000000005</v>
      </c>
      <c r="AV43" s="217">
        <v>0.68500000000000005</v>
      </c>
      <c r="AW43" s="219">
        <v>0.69199999999999995</v>
      </c>
      <c r="AX43" s="219">
        <v>0.7</v>
      </c>
      <c r="BG43" s="217">
        <f t="shared" ref="BG43:BQ43" si="87">BG28/BG26</f>
        <v>0.6668457818377217</v>
      </c>
      <c r="BH43" s="217">
        <f t="shared" si="87"/>
        <v>0.6490695024686669</v>
      </c>
      <c r="BI43" s="217">
        <f t="shared" si="87"/>
        <v>0.65068903535050926</v>
      </c>
      <c r="BJ43" s="217">
        <f t="shared" si="87"/>
        <v>0.65745111260957512</v>
      </c>
      <c r="BK43" s="217">
        <f t="shared" si="87"/>
        <v>0.6795030352409468</v>
      </c>
      <c r="BL43" s="217">
        <f t="shared" si="87"/>
        <v>0.60343996916554254</v>
      </c>
      <c r="BM43" s="217">
        <f t="shared" si="87"/>
        <v>0.63588598028331034</v>
      </c>
      <c r="BN43" s="217">
        <f t="shared" si="87"/>
        <v>0.63178627204937132</v>
      </c>
      <c r="BO43" s="217">
        <f t="shared" si="87"/>
        <v>0.64488153270604243</v>
      </c>
      <c r="BP43" s="217">
        <f t="shared" si="87"/>
        <v>0.63201071488364302</v>
      </c>
      <c r="BQ43" s="217">
        <f t="shared" si="87"/>
        <v>0.67141162599338156</v>
      </c>
      <c r="BR43" s="219">
        <v>0.67500000000000004</v>
      </c>
      <c r="BS43" s="219">
        <v>0.69199999999999995</v>
      </c>
      <c r="BT43" s="219">
        <v>0.70299999999999996</v>
      </c>
      <c r="BU43" s="219">
        <v>0.71</v>
      </c>
      <c r="BV43" s="219">
        <v>0.71499999999999997</v>
      </c>
      <c r="BW43" s="219">
        <v>0.72</v>
      </c>
      <c r="BX43" s="219">
        <v>0.72499999999999998</v>
      </c>
      <c r="BY43" s="219">
        <v>0.73</v>
      </c>
      <c r="BZ43" s="219">
        <v>0.73499999999999999</v>
      </c>
      <c r="CA43" s="219">
        <v>0.74</v>
      </c>
    </row>
    <row r="44" spans="2:119" ht="13.5" customHeight="1">
      <c r="B44" s="204" t="s">
        <v>480</v>
      </c>
      <c r="C44" s="217">
        <f t="shared" ref="C44:AR44" si="88">C29/C26</f>
        <v>8.2051282051282051E-2</v>
      </c>
      <c r="D44" s="217">
        <f t="shared" si="88"/>
        <v>0.11347517730496454</v>
      </c>
      <c r="E44" s="217">
        <f t="shared" si="88"/>
        <v>9.1269841269841265E-2</v>
      </c>
      <c r="F44" s="217">
        <f t="shared" si="88"/>
        <v>0.10110294117647059</v>
      </c>
      <c r="G44" s="217">
        <f t="shared" si="88"/>
        <v>8.6355785837651119E-2</v>
      </c>
      <c r="H44" s="217">
        <f t="shared" si="88"/>
        <v>9.6774193548387108E-2</v>
      </c>
      <c r="I44" s="217">
        <f t="shared" si="88"/>
        <v>9.6726190476190466E-2</v>
      </c>
      <c r="J44" s="217">
        <f t="shared" si="88"/>
        <v>8.3447332421340628E-2</v>
      </c>
      <c r="K44" s="217">
        <f t="shared" si="88"/>
        <v>9.5628415300546443E-2</v>
      </c>
      <c r="L44" s="217">
        <f t="shared" si="88"/>
        <v>0.10049627791563276</v>
      </c>
      <c r="M44" s="217">
        <f t="shared" si="88"/>
        <v>9.6543504171632891E-2</v>
      </c>
      <c r="N44" s="217">
        <f t="shared" si="88"/>
        <v>8.7408949011446413E-2</v>
      </c>
      <c r="O44" s="217">
        <f t="shared" si="88"/>
        <v>7.7896786757546244E-2</v>
      </c>
      <c r="P44" s="217">
        <f t="shared" si="88"/>
        <v>7.4817518248175174E-2</v>
      </c>
      <c r="Q44" s="217">
        <f t="shared" si="88"/>
        <v>0.35688729874776387</v>
      </c>
      <c r="R44" s="217">
        <f t="shared" si="88"/>
        <v>9.0231788079470202E-2</v>
      </c>
      <c r="S44" s="217">
        <f t="shared" si="88"/>
        <v>9.0836895335528925E-2</v>
      </c>
      <c r="T44" s="217">
        <f t="shared" si="88"/>
        <v>0.10031221823980448</v>
      </c>
      <c r="U44" s="217">
        <f t="shared" si="88"/>
        <v>9.8443033074794628E-2</v>
      </c>
      <c r="V44" s="217">
        <f t="shared" si="88"/>
        <v>8.8537184791513193E-2</v>
      </c>
      <c r="W44" s="217">
        <f t="shared" si="88"/>
        <v>9.4289876183539678E-2</v>
      </c>
      <c r="X44" s="217">
        <f t="shared" si="88"/>
        <v>0.21622264509990488</v>
      </c>
      <c r="Y44" s="217">
        <f t="shared" si="88"/>
        <v>0.23112508272667109</v>
      </c>
      <c r="Z44" s="217">
        <f t="shared" si="88"/>
        <v>0.11655842599693257</v>
      </c>
      <c r="AA44" s="217">
        <f t="shared" si="88"/>
        <v>0.10683215130023642</v>
      </c>
      <c r="AB44" s="217">
        <f t="shared" si="88"/>
        <v>9.624525230602278E-2</v>
      </c>
      <c r="AC44" s="217">
        <f t="shared" si="88"/>
        <v>8.8006312467122566E-2</v>
      </c>
      <c r="AD44" s="217">
        <f t="shared" si="88"/>
        <v>0.25495367419971571</v>
      </c>
      <c r="AE44" s="217">
        <f t="shared" si="88"/>
        <v>0.10083374203040706</v>
      </c>
      <c r="AF44" s="217">
        <f t="shared" si="88"/>
        <v>9.3898223715794524E-2</v>
      </c>
      <c r="AG44" s="217">
        <f t="shared" si="88"/>
        <v>9.9766027140851671E-2</v>
      </c>
      <c r="AH44" s="217">
        <f t="shared" si="88"/>
        <v>8.1217539878770353E-2</v>
      </c>
      <c r="AI44" s="217">
        <f t="shared" si="88"/>
        <v>8.2767191383595687E-2</v>
      </c>
      <c r="AJ44" s="217">
        <f t="shared" si="88"/>
        <v>8.2217973231357558E-2</v>
      </c>
      <c r="AK44" s="217">
        <f t="shared" si="88"/>
        <v>7.7519379844961253E-2</v>
      </c>
      <c r="AL44" s="217">
        <f t="shared" si="88"/>
        <v>7.6987917954481594E-2</v>
      </c>
      <c r="AM44" s="217">
        <f t="shared" si="88"/>
        <v>8.8266953713670618E-2</v>
      </c>
      <c r="AN44" s="217">
        <f t="shared" si="88"/>
        <v>8.3166332665330661E-2</v>
      </c>
      <c r="AO44" s="217">
        <f t="shared" si="88"/>
        <v>8.3720930232558138E-2</v>
      </c>
      <c r="AP44" s="217">
        <f t="shared" si="88"/>
        <v>6.3708399366085564E-2</v>
      </c>
      <c r="AQ44" s="217">
        <f t="shared" si="88"/>
        <v>6.8109458875794421E-2</v>
      </c>
      <c r="AR44" s="217">
        <f t="shared" si="88"/>
        <v>6.8397873061230505E-2</v>
      </c>
      <c r="AS44" s="217">
        <v>6.8000000000000005E-2</v>
      </c>
      <c r="AT44" s="217">
        <f>AT29/AT26</f>
        <v>5.6551240966825372E-2</v>
      </c>
      <c r="AU44" s="217">
        <v>7.2999999999999995E-2</v>
      </c>
      <c r="AV44" s="217">
        <v>7.4999999999999997E-2</v>
      </c>
      <c r="AW44" s="219">
        <v>7.4999999999999997E-2</v>
      </c>
      <c r="AX44" s="219">
        <v>7.4999999999999997E-2</v>
      </c>
      <c r="BG44" s="217">
        <f t="shared" ref="BG44:BQ44" si="89">BG29/BG26</f>
        <v>9.7259537882858682E-2</v>
      </c>
      <c r="BH44" s="217">
        <f t="shared" si="89"/>
        <v>9.0770983668818847E-2</v>
      </c>
      <c r="BI44" s="217">
        <f t="shared" si="89"/>
        <v>9.4667465548232479E-2</v>
      </c>
      <c r="BJ44" s="217">
        <f t="shared" si="89"/>
        <v>0.15059563946954371</v>
      </c>
      <c r="BK44" s="217">
        <f t="shared" si="89"/>
        <v>9.4487973211692292E-2</v>
      </c>
      <c r="BL44" s="217">
        <f t="shared" si="89"/>
        <v>0.16068356851744789</v>
      </c>
      <c r="BM44" s="217">
        <f t="shared" si="89"/>
        <v>0.13985205794620045</v>
      </c>
      <c r="BN44" s="217">
        <f t="shared" si="89"/>
        <v>9.3736166575968588E-2</v>
      </c>
      <c r="BO44" s="217">
        <f t="shared" si="89"/>
        <v>7.9733968181989953E-2</v>
      </c>
      <c r="BP44" s="217">
        <f t="shared" si="89"/>
        <v>7.9357106981416375E-2</v>
      </c>
      <c r="BQ44" s="217">
        <f t="shared" si="89"/>
        <v>6.3951156436899123E-2</v>
      </c>
      <c r="BR44" s="219">
        <v>7.2999999999999995E-2</v>
      </c>
      <c r="BS44" s="219">
        <v>7.4999999999999997E-2</v>
      </c>
      <c r="BT44" s="219">
        <v>0.08</v>
      </c>
      <c r="BU44" s="219">
        <v>8.5000000000000006E-2</v>
      </c>
      <c r="BV44" s="219">
        <v>0.09</v>
      </c>
      <c r="BW44" s="219">
        <v>9.5000000000000001E-2</v>
      </c>
      <c r="BX44" s="219">
        <v>9.2499999999999999E-2</v>
      </c>
      <c r="BY44" s="219">
        <v>0.09</v>
      </c>
      <c r="BZ44" s="219">
        <v>0.09</v>
      </c>
      <c r="CA44" s="219">
        <v>0.09</v>
      </c>
    </row>
    <row r="45" spans="2:119" ht="13.5" customHeight="1">
      <c r="B45" s="204" t="s">
        <v>491</v>
      </c>
      <c r="C45" s="217">
        <f t="shared" ref="C45:AR45" si="90">C30/C26</f>
        <v>0.5</v>
      </c>
      <c r="D45" s="217">
        <f t="shared" si="90"/>
        <v>0.62411347517730498</v>
      </c>
      <c r="E45" s="217">
        <f t="shared" si="90"/>
        <v>0.53174603174603174</v>
      </c>
      <c r="F45" s="217">
        <f t="shared" si="90"/>
        <v>0.53676470588235292</v>
      </c>
      <c r="G45" s="217">
        <f t="shared" si="90"/>
        <v>0.57167530224525043</v>
      </c>
      <c r="H45" s="217">
        <f t="shared" si="90"/>
        <v>0.55145929339477728</v>
      </c>
      <c r="I45" s="217">
        <f t="shared" si="90"/>
        <v>0.56101190476190477</v>
      </c>
      <c r="J45" s="217">
        <f t="shared" si="90"/>
        <v>0.56908344733242144</v>
      </c>
      <c r="K45" s="217">
        <f t="shared" si="90"/>
        <v>0.58333333333333337</v>
      </c>
      <c r="L45" s="217">
        <f t="shared" si="90"/>
        <v>0.54838709677419362</v>
      </c>
      <c r="M45" s="217">
        <f t="shared" si="90"/>
        <v>0.54827175208581647</v>
      </c>
      <c r="N45" s="217">
        <f t="shared" si="90"/>
        <v>0.53590010405827271</v>
      </c>
      <c r="O45" s="217">
        <f t="shared" si="90"/>
        <v>0.53067185978578379</v>
      </c>
      <c r="P45" s="217">
        <f t="shared" si="90"/>
        <v>0.5</v>
      </c>
      <c r="Q45" s="217">
        <f t="shared" si="90"/>
        <v>0.5</v>
      </c>
      <c r="R45" s="217">
        <f t="shared" si="90"/>
        <v>0.50662251655629142</v>
      </c>
      <c r="S45" s="217">
        <f t="shared" si="90"/>
        <v>0.47564213361985069</v>
      </c>
      <c r="T45" s="217">
        <f t="shared" si="90"/>
        <v>0.50420637700166171</v>
      </c>
      <c r="U45" s="217">
        <f t="shared" si="90"/>
        <v>0.49668821952373443</v>
      </c>
      <c r="V45" s="217">
        <f t="shared" si="90"/>
        <v>0.51416415968498042</v>
      </c>
      <c r="W45" s="217">
        <f t="shared" si="90"/>
        <v>0.5422651128914785</v>
      </c>
      <c r="X45" s="217">
        <f t="shared" si="90"/>
        <v>0.56898192197906761</v>
      </c>
      <c r="Y45" s="217">
        <f t="shared" si="90"/>
        <v>0.50430178689609539</v>
      </c>
      <c r="Z45" s="217">
        <f t="shared" si="90"/>
        <v>0.45901433090490795</v>
      </c>
      <c r="AA45" s="217">
        <f t="shared" si="90"/>
        <v>0.47161938534278963</v>
      </c>
      <c r="AB45" s="217">
        <f t="shared" si="90"/>
        <v>0.49175257731958755</v>
      </c>
      <c r="AC45" s="217">
        <f t="shared" si="90"/>
        <v>0.49656496580746978</v>
      </c>
      <c r="AD45" s="217">
        <f t="shared" si="90"/>
        <v>0.55642923672729072</v>
      </c>
      <c r="AE45" s="217">
        <f t="shared" si="90"/>
        <v>0.54389406571848942</v>
      </c>
      <c r="AF45" s="217">
        <f t="shared" si="90"/>
        <v>0.55024003840614488</v>
      </c>
      <c r="AG45" s="217">
        <f t="shared" si="90"/>
        <v>0.5080486663547028</v>
      </c>
      <c r="AH45" s="217">
        <f t="shared" si="90"/>
        <v>0.52267518860206241</v>
      </c>
      <c r="AI45" s="217">
        <f t="shared" si="90"/>
        <v>0.50981772990886487</v>
      </c>
      <c r="AJ45" s="217">
        <f t="shared" si="90"/>
        <v>0.48718929254302107</v>
      </c>
      <c r="AK45" s="217">
        <f t="shared" si="90"/>
        <v>0.46474713916574389</v>
      </c>
      <c r="AL45" s="217">
        <f t="shared" si="90"/>
        <v>0.45669429615060397</v>
      </c>
      <c r="AM45" s="217">
        <f t="shared" si="90"/>
        <v>0.51811984212414786</v>
      </c>
      <c r="AN45" s="217">
        <f t="shared" si="90"/>
        <v>0.4739478957915832</v>
      </c>
      <c r="AO45" s="217">
        <f t="shared" si="90"/>
        <v>0.46411960132890362</v>
      </c>
      <c r="AP45" s="217">
        <f t="shared" si="90"/>
        <v>0.46909667194928684</v>
      </c>
      <c r="AQ45" s="217">
        <f t="shared" si="90"/>
        <v>0.47342506324427713</v>
      </c>
      <c r="AR45" s="217">
        <f t="shared" si="90"/>
        <v>0.47123771928532504</v>
      </c>
      <c r="AS45" s="217">
        <v>0.47</v>
      </c>
      <c r="AT45" s="217">
        <f>AT30/AT26</f>
        <v>0.46992228550670123</v>
      </c>
      <c r="AU45" s="217">
        <v>0.46600000000000003</v>
      </c>
      <c r="AV45" s="217">
        <v>0.46400000000000002</v>
      </c>
      <c r="AW45" s="219">
        <v>0.46200000000000002</v>
      </c>
      <c r="AX45" s="219">
        <v>0.46</v>
      </c>
      <c r="BG45" s="217">
        <f t="shared" ref="BG45:BQ45" si="91">BG30/BG26</f>
        <v>0.5475550779150995</v>
      </c>
      <c r="BH45" s="217">
        <f t="shared" si="91"/>
        <v>0.56323585263957476</v>
      </c>
      <c r="BI45" s="217">
        <f t="shared" si="91"/>
        <v>0.55242660275614142</v>
      </c>
      <c r="BJ45" s="217">
        <f t="shared" si="91"/>
        <v>0.50887839964036852</v>
      </c>
      <c r="BK45" s="217">
        <f t="shared" si="91"/>
        <v>0.49823073676980212</v>
      </c>
      <c r="BL45" s="217">
        <f t="shared" si="91"/>
        <v>0.51224456292870235</v>
      </c>
      <c r="BM45" s="217">
        <f t="shared" si="91"/>
        <v>0.50606749689000652</v>
      </c>
      <c r="BN45" s="217">
        <f t="shared" si="91"/>
        <v>0.53087059529023184</v>
      </c>
      <c r="BO45" s="217">
        <f t="shared" si="91"/>
        <v>0.47840380909193969</v>
      </c>
      <c r="BP45" s="217">
        <f t="shared" si="91"/>
        <v>0.48049556336849158</v>
      </c>
      <c r="BQ45" s="217">
        <f t="shared" si="91"/>
        <v>0.47263556475369839</v>
      </c>
      <c r="BR45" s="219">
        <v>0.46500000000000002</v>
      </c>
      <c r="BS45" s="219">
        <v>0.45250000000000001</v>
      </c>
      <c r="BT45" s="219">
        <v>0.44600000000000001</v>
      </c>
      <c r="BU45" s="219">
        <v>0.439</v>
      </c>
      <c r="BV45" s="219">
        <v>0.435</v>
      </c>
      <c r="BW45" s="219">
        <v>0.4325</v>
      </c>
      <c r="BX45" s="219">
        <v>0.42799999999999999</v>
      </c>
      <c r="BY45" s="219">
        <v>0.42499999999999999</v>
      </c>
      <c r="BZ45" s="219">
        <v>0.42</v>
      </c>
      <c r="CA45" s="219">
        <v>0.41</v>
      </c>
    </row>
    <row r="46" spans="2:119" ht="13.5" customHeight="1">
      <c r="B46" s="204" t="s">
        <v>478</v>
      </c>
      <c r="C46" s="217">
        <f t="shared" ref="C46:AX46" si="92">C33/C26</f>
        <v>0.10256410256410256</v>
      </c>
      <c r="D46" s="217">
        <f t="shared" si="92"/>
        <v>-8.9834515366430279E-2</v>
      </c>
      <c r="E46" s="217">
        <f t="shared" si="92"/>
        <v>4.3650793650793634E-2</v>
      </c>
      <c r="F46" s="217">
        <f t="shared" si="92"/>
        <v>3.3088235294117599E-2</v>
      </c>
      <c r="G46" s="217">
        <f t="shared" si="92"/>
        <v>3.1088082901554355E-2</v>
      </c>
      <c r="H46" s="217">
        <f t="shared" si="92"/>
        <v>-1.0752688172043055E-2</v>
      </c>
      <c r="I46" s="217">
        <f t="shared" si="92"/>
        <v>-2.0833333333333311E-2</v>
      </c>
      <c r="J46" s="217">
        <f t="shared" si="92"/>
        <v>-1.6415868673050754E-2</v>
      </c>
      <c r="K46" s="217">
        <f t="shared" si="92"/>
        <v>-2.7322404371584699E-2</v>
      </c>
      <c r="L46" s="217">
        <f t="shared" si="92"/>
        <v>-1.6129032258064658E-2</v>
      </c>
      <c r="M46" s="217">
        <f t="shared" si="92"/>
        <v>8.3432657926102837E-3</v>
      </c>
      <c r="N46" s="217">
        <f t="shared" si="92"/>
        <v>4.0582726326742966E-2</v>
      </c>
      <c r="O46" s="217">
        <f t="shared" si="92"/>
        <v>3.8948393378773052E-2</v>
      </c>
      <c r="P46" s="217">
        <f t="shared" si="92"/>
        <v>8.4854014598540056E-2</v>
      </c>
      <c r="Q46" s="217">
        <f t="shared" si="92"/>
        <v>-0.18604651162790695</v>
      </c>
      <c r="R46" s="217">
        <f t="shared" si="92"/>
        <v>5.5463576158940188E-2</v>
      </c>
      <c r="S46" s="217">
        <f t="shared" si="92"/>
        <v>8.6827209803875788E-2</v>
      </c>
      <c r="T46" s="217">
        <f t="shared" si="92"/>
        <v>9.5386770590383002E-2</v>
      </c>
      <c r="U46" s="217">
        <f t="shared" si="92"/>
        <v>9.301658757580536E-2</v>
      </c>
      <c r="V46" s="217">
        <f t="shared" si="92"/>
        <v>7.2813762813143876E-2</v>
      </c>
      <c r="W46" s="217">
        <f t="shared" si="92"/>
        <v>4.377276037873367E-3</v>
      </c>
      <c r="X46" s="217">
        <f t="shared" si="92"/>
        <v>-0.16769743101807816</v>
      </c>
      <c r="Y46" s="217">
        <f t="shared" si="92"/>
        <v>-0.13352746525479817</v>
      </c>
      <c r="Z46" s="217">
        <f t="shared" si="92"/>
        <v>-1.0436637269938589E-2</v>
      </c>
      <c r="AA46" s="217">
        <f t="shared" si="92"/>
        <v>7.9544917257683243E-2</v>
      </c>
      <c r="AB46" s="217">
        <f t="shared" si="92"/>
        <v>5.6060770482908417E-2</v>
      </c>
      <c r="AC46" s="217">
        <f t="shared" si="92"/>
        <v>4.6149395055233994E-2</v>
      </c>
      <c r="AD46" s="217">
        <f t="shared" si="92"/>
        <v>-0.19640668660228483</v>
      </c>
      <c r="AE46" s="217">
        <f t="shared" si="92"/>
        <v>-1.9911721432074557E-2</v>
      </c>
      <c r="AF46" s="217">
        <f t="shared" si="92"/>
        <v>-8.3533365338457318E-4</v>
      </c>
      <c r="AG46" s="217">
        <f t="shared" si="92"/>
        <v>2.5315863359850244E-2</v>
      </c>
      <c r="AH46" s="217">
        <f t="shared" si="92"/>
        <v>2.2175715196195642E-2</v>
      </c>
      <c r="AI46" s="217">
        <f t="shared" si="92"/>
        <v>3.3347141673571001E-2</v>
      </c>
      <c r="AJ46" s="217">
        <f t="shared" si="92"/>
        <v>6.8833652007648183E-2</v>
      </c>
      <c r="AK46" s="217">
        <f t="shared" si="92"/>
        <v>4.651162790697673E-2</v>
      </c>
      <c r="AL46" s="217">
        <f t="shared" si="92"/>
        <v>0.12282242202865983</v>
      </c>
      <c r="AM46" s="217">
        <f t="shared" si="92"/>
        <v>4.377466810190165E-2</v>
      </c>
      <c r="AN46" s="217">
        <f t="shared" si="92"/>
        <v>-0.27020708082832345</v>
      </c>
      <c r="AO46" s="217">
        <f t="shared" si="92"/>
        <v>0.11760797342192703</v>
      </c>
      <c r="AP46" s="217">
        <f t="shared" si="92"/>
        <v>0.13489698890649762</v>
      </c>
      <c r="AQ46" s="217">
        <f t="shared" si="92"/>
        <v>0.1244832479792682</v>
      </c>
      <c r="AR46" s="217">
        <f t="shared" si="92"/>
        <v>0.12027514692669133</v>
      </c>
      <c r="AS46" s="217">
        <f t="shared" si="92"/>
        <v>0.13769401017804528</v>
      </c>
      <c r="AT46" s="217">
        <f t="shared" si="92"/>
        <v>0.15369824980214578</v>
      </c>
      <c r="AU46" s="217">
        <f t="shared" si="92"/>
        <v>0.10202317228718269</v>
      </c>
      <c r="AV46" s="217">
        <f t="shared" si="92"/>
        <v>0.10521579506006981</v>
      </c>
      <c r="AW46" s="219">
        <f t="shared" si="92"/>
        <v>0.15500000000000003</v>
      </c>
      <c r="AX46" s="219">
        <f t="shared" si="92"/>
        <v>0.16500000000000001</v>
      </c>
      <c r="BG46" s="217">
        <f t="shared" ref="BG46:CA46" si="93">BG33/BG26</f>
        <v>2.2568511552928511E-2</v>
      </c>
      <c r="BH46" s="217">
        <f t="shared" si="93"/>
        <v>-5.6969236612229943E-3</v>
      </c>
      <c r="BI46" s="217">
        <f t="shared" si="93"/>
        <v>3.8945476333133314E-3</v>
      </c>
      <c r="BJ46" s="217">
        <f t="shared" si="93"/>
        <v>-1.798156889188671E-3</v>
      </c>
      <c r="BK46" s="217">
        <f t="shared" si="93"/>
        <v>8.6784325259452302E-2</v>
      </c>
      <c r="BL46" s="217">
        <f t="shared" si="93"/>
        <v>-6.948816228060764E-2</v>
      </c>
      <c r="BM46" s="217">
        <f t="shared" si="93"/>
        <v>-1.0033574552896685E-2</v>
      </c>
      <c r="BN46" s="217">
        <f t="shared" si="93"/>
        <v>7.1795101831708917E-3</v>
      </c>
      <c r="BO46" s="217">
        <f t="shared" si="93"/>
        <v>6.9549937648792665E-2</v>
      </c>
      <c r="BP46" s="217">
        <f t="shared" si="93"/>
        <v>7.751548635526434E-3</v>
      </c>
      <c r="BQ46" s="217">
        <f t="shared" si="93"/>
        <v>0.13482490480278411</v>
      </c>
      <c r="BR46" s="219">
        <f t="shared" si="93"/>
        <v>0.13700000000000004</v>
      </c>
      <c r="BS46" s="219">
        <f t="shared" si="93"/>
        <v>0.16449999999999984</v>
      </c>
      <c r="BT46" s="219">
        <f t="shared" si="93"/>
        <v>0.17699999999999991</v>
      </c>
      <c r="BU46" s="219">
        <f t="shared" si="93"/>
        <v>0.18599999999999997</v>
      </c>
      <c r="BV46" s="219">
        <f t="shared" si="93"/>
        <v>0.19000000000000009</v>
      </c>
      <c r="BW46" s="219">
        <f t="shared" si="93"/>
        <v>0.19249999999999998</v>
      </c>
      <c r="BX46" s="219">
        <f t="shared" si="93"/>
        <v>0.20449999999999988</v>
      </c>
      <c r="BY46" s="219">
        <f t="shared" si="93"/>
        <v>0.215</v>
      </c>
      <c r="BZ46" s="219">
        <f t="shared" si="93"/>
        <v>0.22499999999999995</v>
      </c>
      <c r="CA46" s="219">
        <f t="shared" si="93"/>
        <v>0.24000000000000002</v>
      </c>
    </row>
    <row r="47" spans="2:119" ht="13.5" customHeight="1">
      <c r="B47" s="204" t="s">
        <v>572</v>
      </c>
      <c r="C47" s="217">
        <f t="shared" ref="C47:AR47" si="94">C36/C35</f>
        <v>0.39534883720930231</v>
      </c>
      <c r="D47" s="217">
        <f t="shared" si="94"/>
        <v>0.35714285714285704</v>
      </c>
      <c r="E47" s="217">
        <f t="shared" si="94"/>
        <v>0.57142857142857162</v>
      </c>
      <c r="F47" s="217">
        <f t="shared" si="94"/>
        <v>0.105263157894737</v>
      </c>
      <c r="G47" s="217">
        <f t="shared" si="94"/>
        <v>-9.5238095238095385E-2</v>
      </c>
      <c r="H47" s="217">
        <f t="shared" si="94"/>
        <v>8.4999999999999396</v>
      </c>
      <c r="I47" s="217">
        <f t="shared" si="94"/>
        <v>11.818181818181834</v>
      </c>
      <c r="J47" s="217">
        <f t="shared" si="94"/>
        <v>-0.56249999999999656</v>
      </c>
      <c r="K47" s="217">
        <f t="shared" si="94"/>
        <v>-0.82352941176470584</v>
      </c>
      <c r="L47" s="217">
        <f t="shared" si="94"/>
        <v>-0.55555555555554859</v>
      </c>
      <c r="M47" s="217">
        <f t="shared" si="94"/>
        <v>0.38461538461538375</v>
      </c>
      <c r="N47" s="217">
        <f t="shared" si="94"/>
        <v>-1.5128205128205134</v>
      </c>
      <c r="O47" s="217">
        <f t="shared" si="94"/>
        <v>-0.42222222222222289</v>
      </c>
      <c r="P47" s="217">
        <f t="shared" si="94"/>
        <v>-0.50515463917525827</v>
      </c>
      <c r="Q47" s="217">
        <f t="shared" si="94"/>
        <v>-8.0402010050251271E-2</v>
      </c>
      <c r="R47" s="217">
        <f t="shared" si="94"/>
        <v>0.12162162162162204</v>
      </c>
      <c r="S47" s="217">
        <f t="shared" si="94"/>
        <v>0.12217650516416156</v>
      </c>
      <c r="T47" s="217">
        <f t="shared" si="94"/>
        <v>-0.20238271422228815</v>
      </c>
      <c r="U47" s="217">
        <f t="shared" si="94"/>
        <v>0.15143099591144024</v>
      </c>
      <c r="V47" s="217">
        <f t="shared" si="94"/>
        <v>0.20839363241678549</v>
      </c>
      <c r="W47" s="217">
        <f t="shared" si="94"/>
        <v>2.4946564885496687</v>
      </c>
      <c r="X47" s="217">
        <f t="shared" si="94"/>
        <v>0.24275383620436217</v>
      </c>
      <c r="Y47" s="217">
        <f t="shared" si="94"/>
        <v>0.49901260823332821</v>
      </c>
      <c r="Z47" s="217">
        <f t="shared" si="94"/>
        <v>6.223762376237743</v>
      </c>
      <c r="AA47" s="217">
        <f t="shared" si="94"/>
        <v>0.12364599213672467</v>
      </c>
      <c r="AB47" s="217">
        <f t="shared" si="94"/>
        <v>0.18585542404382235</v>
      </c>
      <c r="AC47" s="217">
        <f t="shared" si="94"/>
        <v>-3.2029843066632438E-2</v>
      </c>
      <c r="AD47" s="217">
        <f t="shared" si="94"/>
        <v>0.39834480738245126</v>
      </c>
      <c r="AE47" s="217">
        <f t="shared" si="94"/>
        <v>1.0140872627665813</v>
      </c>
      <c r="AF47" s="217">
        <f t="shared" si="94"/>
        <v>-2.20279720279719</v>
      </c>
      <c r="AG47" s="217">
        <f t="shared" si="94"/>
        <v>1.7549668874172206</v>
      </c>
      <c r="AH47" s="217">
        <f t="shared" si="94"/>
        <v>0.45699452785183436</v>
      </c>
      <c r="AI47" s="217">
        <f t="shared" si="94"/>
        <v>1.0351966873705955E-2</v>
      </c>
      <c r="AJ47" s="217">
        <f t="shared" si="94"/>
        <v>2.551020408163265E-2</v>
      </c>
      <c r="AK47" s="217">
        <f t="shared" si="94"/>
        <v>0.30751879699248136</v>
      </c>
      <c r="AL47" s="217">
        <f t="shared" si="94"/>
        <v>-0.41924651065169455</v>
      </c>
      <c r="AM47" s="217">
        <f t="shared" si="94"/>
        <v>0.24489795918367366</v>
      </c>
      <c r="AN47" s="217">
        <f t="shared" si="94"/>
        <v>0.22622107969151661</v>
      </c>
      <c r="AO47" s="217">
        <f t="shared" si="94"/>
        <v>0.25879396984924602</v>
      </c>
      <c r="AP47" s="217">
        <f t="shared" si="94"/>
        <v>0.23918459796149494</v>
      </c>
      <c r="AQ47" s="217">
        <f t="shared" si="94"/>
        <v>0.10568197364220895</v>
      </c>
      <c r="AR47" s="217">
        <f t="shared" si="94"/>
        <v>8.8280732730081654E-4</v>
      </c>
      <c r="AS47" s="217">
        <v>0.2</v>
      </c>
      <c r="AT47" s="217">
        <f>AT36/AT35</f>
        <v>0.2559875534322355</v>
      </c>
      <c r="AU47" s="217">
        <v>0.23</v>
      </c>
      <c r="AV47" s="217">
        <v>0.23</v>
      </c>
      <c r="AW47" s="219">
        <v>0.23</v>
      </c>
      <c r="AX47" s="219">
        <v>0.23</v>
      </c>
      <c r="BG47" s="217">
        <f t="shared" ref="BG47:BQ47" si="95">BG36/BG35</f>
        <v>0.39024390243902479</v>
      </c>
      <c r="BH47" s="228">
        <f t="shared" si="95"/>
        <v>15.699999999999777</v>
      </c>
      <c r="BI47" s="217">
        <f t="shared" si="95"/>
        <v>-1.3461538461538514</v>
      </c>
      <c r="BJ47" s="217">
        <f t="shared" si="95"/>
        <v>-2.5294117647059431</v>
      </c>
      <c r="BK47" s="217">
        <f t="shared" si="95"/>
        <v>6.2453872698621696E-2</v>
      </c>
      <c r="BL47" s="217">
        <f t="shared" si="95"/>
        <v>0.49477820560156266</v>
      </c>
      <c r="BM47" s="217">
        <f t="shared" si="95"/>
        <v>1.2497619501047379</v>
      </c>
      <c r="BN47" s="217">
        <f t="shared" si="95"/>
        <v>1.5143884892085913</v>
      </c>
      <c r="BO47" s="217">
        <f t="shared" si="95"/>
        <v>-0.1417638941161711</v>
      </c>
      <c r="BP47" s="217">
        <f t="shared" si="95"/>
        <v>0.3290167865707454</v>
      </c>
      <c r="BQ47" s="217">
        <f t="shared" si="95"/>
        <v>0.13376234003656309</v>
      </c>
      <c r="BR47" s="219">
        <v>0.2</v>
      </c>
      <c r="BS47" s="219">
        <v>0.22</v>
      </c>
      <c r="BT47" s="219">
        <v>0.23</v>
      </c>
      <c r="BU47" s="219">
        <v>0.23</v>
      </c>
      <c r="BV47" s="219">
        <v>0.23</v>
      </c>
      <c r="BW47" s="219">
        <v>0.23</v>
      </c>
      <c r="BX47" s="219">
        <v>0.23</v>
      </c>
      <c r="BY47" s="219">
        <v>0.23</v>
      </c>
      <c r="BZ47" s="219">
        <v>0.23</v>
      </c>
      <c r="CA47" s="219">
        <v>0.23</v>
      </c>
    </row>
    <row r="48" spans="2:119" ht="13.5" customHeight="1">
      <c r="B48" s="204" t="s">
        <v>479</v>
      </c>
      <c r="C48" s="217">
        <f t="shared" ref="C48:AR48" si="96">C37/C26</f>
        <v>6.4102564102564097E-2</v>
      </c>
      <c r="D48" s="217">
        <f t="shared" si="96"/>
        <v>-6.3829787234042562E-2</v>
      </c>
      <c r="E48" s="217">
        <f t="shared" si="96"/>
        <v>1.785714285714286E-2</v>
      </c>
      <c r="F48" s="217">
        <f t="shared" si="96"/>
        <v>2.9411764705882356E-2</v>
      </c>
      <c r="G48" s="217">
        <f t="shared" si="96"/>
        <v>3.9723661485319514E-2</v>
      </c>
      <c r="H48" s="217">
        <f t="shared" si="96"/>
        <v>4.6082949308755762E-2</v>
      </c>
      <c r="I48" s="217">
        <f t="shared" si="96"/>
        <v>0.17708333333333334</v>
      </c>
      <c r="J48" s="217">
        <f t="shared" si="96"/>
        <v>-3.2831737346101231E-2</v>
      </c>
      <c r="K48" s="217">
        <f t="shared" si="96"/>
        <v>-4.2349726775956283E-2</v>
      </c>
      <c r="L48" s="217">
        <f t="shared" si="96"/>
        <v>-1.9851116625310177E-2</v>
      </c>
      <c r="M48" s="217">
        <f t="shared" si="96"/>
        <v>2.3837902264600714E-3</v>
      </c>
      <c r="N48" s="217">
        <f t="shared" si="96"/>
        <v>9.4693028095733614E-2</v>
      </c>
      <c r="O48" s="217">
        <f t="shared" si="96"/>
        <v>5.3554040895813046E-2</v>
      </c>
      <c r="P48" s="217">
        <f t="shared" si="96"/>
        <v>0.12226277372262774</v>
      </c>
      <c r="Q48" s="217">
        <f t="shared" si="96"/>
        <v>-0.20035778175313057</v>
      </c>
      <c r="R48" s="217">
        <f t="shared" si="96"/>
        <v>5.3807947019867554E-2</v>
      </c>
      <c r="S48" s="217">
        <f t="shared" si="96"/>
        <v>8.1392723393984706E-2</v>
      </c>
      <c r="T48" s="217">
        <f t="shared" si="96"/>
        <v>0.1210795746678489</v>
      </c>
      <c r="U48" s="217">
        <f t="shared" si="96"/>
        <v>7.8851916101561267E-2</v>
      </c>
      <c r="V48" s="217">
        <f t="shared" si="96"/>
        <v>6.4015806031901851E-2</v>
      </c>
      <c r="W48" s="217">
        <f t="shared" si="96"/>
        <v>7.1303714493810132E-3</v>
      </c>
      <c r="X48" s="217">
        <f t="shared" si="96"/>
        <v>-0.12254995242626085</v>
      </c>
      <c r="Y48" s="217">
        <f t="shared" si="96"/>
        <v>-6.5479814692256805E-2</v>
      </c>
      <c r="Z48" s="217">
        <f t="shared" si="96"/>
        <v>1.5804735429447901E-2</v>
      </c>
      <c r="AA48" s="217">
        <f t="shared" si="96"/>
        <v>6.4550827423167867E-2</v>
      </c>
      <c r="AB48" s="217">
        <f t="shared" si="96"/>
        <v>4.5160065111231801E-2</v>
      </c>
      <c r="AC48" s="217">
        <f t="shared" si="96"/>
        <v>4.2204103103629577E-2</v>
      </c>
      <c r="AD48" s="217">
        <f t="shared" si="96"/>
        <v>-0.12081474582087397</v>
      </c>
      <c r="AE48" s="217">
        <f t="shared" si="96"/>
        <v>3.5311427170180187E-4</v>
      </c>
      <c r="AF48" s="217">
        <f t="shared" si="96"/>
        <v>-1.7590014402304399E-2</v>
      </c>
      <c r="AG48" s="217">
        <f t="shared" si="96"/>
        <v>-1.0669162377164264E-2</v>
      </c>
      <c r="AH48" s="217">
        <f t="shared" si="96"/>
        <v>1.7492869508617385E-2</v>
      </c>
      <c r="AI48" s="217">
        <f t="shared" si="96"/>
        <v>3.5642087821044076E-2</v>
      </c>
      <c r="AJ48" s="217">
        <f t="shared" si="96"/>
        <v>7.304015296367114E-2</v>
      </c>
      <c r="AK48" s="217">
        <f t="shared" si="96"/>
        <v>3.399778516057584E-2</v>
      </c>
      <c r="AL48" s="217">
        <f t="shared" si="96"/>
        <v>0.18999719022197256</v>
      </c>
      <c r="AM48" s="217">
        <f t="shared" si="96"/>
        <v>3.9827771797631827E-2</v>
      </c>
      <c r="AN48" s="217">
        <f t="shared" si="96"/>
        <v>-0.20106880427521726</v>
      </c>
      <c r="AO48" s="217">
        <f t="shared" si="96"/>
        <v>9.8006644518272526E-2</v>
      </c>
      <c r="AP48" s="217">
        <f t="shared" si="96"/>
        <v>0.10646592709984153</v>
      </c>
      <c r="AQ48" s="217">
        <f t="shared" si="96"/>
        <v>0.12100635527858333</v>
      </c>
      <c r="AR48" s="217">
        <f t="shared" si="96"/>
        <v>0.13336082838667868</v>
      </c>
      <c r="AS48" s="217">
        <f>AS39/AS26</f>
        <v>0.12927245302169529</v>
      </c>
      <c r="AT48" s="217">
        <f>AT37/AT26</f>
        <v>0.12284598518364738</v>
      </c>
      <c r="AU48" s="217">
        <f>AU39/AU26</f>
        <v>8.6946776319651642E-2</v>
      </c>
      <c r="AV48" s="217">
        <f>AV39/AV26</f>
        <v>8.924844761899875E-2</v>
      </c>
      <c r="AW48" s="219">
        <f>AW39/AW26</f>
        <v>0.11414514377784253</v>
      </c>
      <c r="AX48" s="219">
        <f>AX39/AX26</f>
        <v>0.12311667979112266</v>
      </c>
      <c r="BG48" s="217">
        <f t="shared" ref="BG48:CA48" si="97">BG39/BG26</f>
        <v>5.4809242342826444E-3</v>
      </c>
      <c r="BH48" s="217">
        <f t="shared" si="97"/>
        <v>5.8108621344474004E-2</v>
      </c>
      <c r="BI48" s="217">
        <f t="shared" si="97"/>
        <v>1.3780707010185739E-2</v>
      </c>
      <c r="BJ48" s="217">
        <f t="shared" si="97"/>
        <v>1.4654978646886939E-2</v>
      </c>
      <c r="BK48" s="217">
        <f t="shared" si="97"/>
        <v>8.851979254772073E-2</v>
      </c>
      <c r="BL48" s="217">
        <f t="shared" si="97"/>
        <v>-2.784023182943958E-2</v>
      </c>
      <c r="BM48" s="217">
        <f t="shared" si="97"/>
        <v>7.0680453189582056E-3</v>
      </c>
      <c r="BN48" s="217">
        <f t="shared" si="97"/>
        <v>-2.3632652723951171E-3</v>
      </c>
      <c r="BO48" s="217">
        <f t="shared" si="97"/>
        <v>8.5978536069228742E-2</v>
      </c>
      <c r="BP48" s="217">
        <f t="shared" si="97"/>
        <v>1.1711032981751111E-2</v>
      </c>
      <c r="BQ48" s="217">
        <f t="shared" si="97"/>
        <v>0.12658789668475026</v>
      </c>
      <c r="BR48" s="219">
        <f t="shared" si="97"/>
        <v>0.12452949206475393</v>
      </c>
      <c r="BS48" s="219">
        <f t="shared" si="97"/>
        <v>0.1537362188080105</v>
      </c>
      <c r="BT48" s="219">
        <f t="shared" si="97"/>
        <v>0.17379413924282472</v>
      </c>
      <c r="BU48" s="219">
        <f t="shared" si="97"/>
        <v>0.19427140735424472</v>
      </c>
      <c r="BV48" s="219">
        <f t="shared" si="97"/>
        <v>0.21208010448040343</v>
      </c>
      <c r="BW48" s="219">
        <f t="shared" si="97"/>
        <v>0.22960992744938408</v>
      </c>
      <c r="BX48" s="219">
        <f t="shared" si="97"/>
        <v>0.25527280711299999</v>
      </c>
      <c r="BY48" s="219">
        <f t="shared" si="97"/>
        <v>0.28169359528874871</v>
      </c>
      <c r="BZ48" s="219">
        <f t="shared" si="97"/>
        <v>0.30936321677156053</v>
      </c>
      <c r="CA48" s="219">
        <f t="shared" si="97"/>
        <v>0.34265694517878187</v>
      </c>
    </row>
    <row r="49" spans="2:119" ht="13.5" customHeight="1">
      <c r="AQ49" s="204"/>
      <c r="AR49" s="204"/>
      <c r="AS49" s="210"/>
      <c r="AT49" s="204"/>
    </row>
    <row r="50" spans="2:119" ht="13.5" customHeight="1">
      <c r="B50" s="204" t="s">
        <v>297</v>
      </c>
      <c r="S50" s="223">
        <v>95.605999999999995</v>
      </c>
      <c r="T50" s="223">
        <v>77.260999999999996</v>
      </c>
      <c r="U50" s="223">
        <v>111.581</v>
      </c>
      <c r="V50" s="223">
        <v>72.778999999999996</v>
      </c>
      <c r="W50" s="223">
        <v>72.456000000000003</v>
      </c>
      <c r="X50" s="223">
        <v>134.381</v>
      </c>
      <c r="Y50" s="204">
        <v>80.114999999999995</v>
      </c>
      <c r="Z50" s="223">
        <v>69.67</v>
      </c>
      <c r="AA50" s="223">
        <v>55.631999999999998</v>
      </c>
      <c r="AB50" s="223">
        <v>82.277000000000001</v>
      </c>
      <c r="AC50" s="204">
        <v>66.290000000000006</v>
      </c>
      <c r="AD50" s="223">
        <v>59.378999999999998</v>
      </c>
      <c r="AE50" s="223">
        <v>68.162999999999997</v>
      </c>
      <c r="AF50" s="223">
        <v>58.234000000000002</v>
      </c>
      <c r="AG50" s="223">
        <v>54.844000000000001</v>
      </c>
      <c r="AH50" s="223">
        <v>69.858000000000004</v>
      </c>
      <c r="AI50" s="223">
        <v>94.688000000000002</v>
      </c>
      <c r="AJ50" s="223">
        <v>114.167</v>
      </c>
      <c r="AK50" s="223">
        <v>100.75700000000001</v>
      </c>
      <c r="AL50" s="223">
        <v>167.48599999999999</v>
      </c>
      <c r="AM50" s="223">
        <v>223.114</v>
      </c>
      <c r="AN50" s="223">
        <v>288.33199999999999</v>
      </c>
      <c r="AO50" s="223">
        <v>280.476</v>
      </c>
      <c r="AP50" s="223">
        <v>324.39999999999998</v>
      </c>
      <c r="AQ50" s="223">
        <v>376.05399999999997</v>
      </c>
      <c r="AR50" s="223">
        <v>421.76799999999997</v>
      </c>
      <c r="AS50" s="223">
        <v>321.029</v>
      </c>
      <c r="AT50" s="223">
        <v>186.89</v>
      </c>
      <c r="AU50" s="223">
        <v>241.28899999999999</v>
      </c>
      <c r="AV50" s="223">
        <v>205.27099999999999</v>
      </c>
      <c r="AW50" s="212">
        <f>AV50+AW39</f>
        <v>253.55099999999999</v>
      </c>
      <c r="AX50" s="212">
        <f>AW50+AX39</f>
        <v>310.05099999999999</v>
      </c>
      <c r="BK50" s="223">
        <f t="shared" ref="BK50:BK61" si="98">V50</f>
        <v>72.778999999999996</v>
      </c>
      <c r="BL50" s="223">
        <f t="shared" ref="BL50:BL61" si="99">Z50</f>
        <v>69.67</v>
      </c>
      <c r="BM50" s="223">
        <f t="shared" ref="BM50:BM61" si="100">AD50</f>
        <v>59.378999999999998</v>
      </c>
      <c r="BN50" s="223">
        <f t="shared" ref="BN50:BN61" si="101">AH50</f>
        <v>69.858000000000004</v>
      </c>
      <c r="BO50" s="223">
        <f t="shared" ref="BO50:BO61" si="102">AL50</f>
        <v>167.48599999999999</v>
      </c>
      <c r="BP50" s="223">
        <f t="shared" ref="BP50:BP61" si="103">AP50</f>
        <v>324.39999999999998</v>
      </c>
      <c r="BQ50" s="223">
        <v>186.89</v>
      </c>
      <c r="BR50" s="225">
        <f t="shared" ref="BR50:CA50" si="104">BQ50+BR39</f>
        <v>392.03887404800003</v>
      </c>
      <c r="BS50" s="225">
        <f t="shared" si="104"/>
        <v>696.18623563458459</v>
      </c>
      <c r="BT50" s="225">
        <f t="shared" si="104"/>
        <v>1104.8235153342112</v>
      </c>
      <c r="BU50" s="225">
        <f t="shared" si="104"/>
        <v>1637.3616394563869</v>
      </c>
      <c r="BV50" s="225">
        <f t="shared" si="104"/>
        <v>2306.0235865048116</v>
      </c>
      <c r="BW50" s="225">
        <f t="shared" si="104"/>
        <v>3130.0991824243329</v>
      </c>
      <c r="BX50" s="225">
        <f t="shared" si="104"/>
        <v>4164.8737798557422</v>
      </c>
      <c r="BY50" s="225">
        <f t="shared" si="104"/>
        <v>5444.3734515320757</v>
      </c>
      <c r="BZ50" s="225">
        <f t="shared" si="104"/>
        <v>7011.7484396959244</v>
      </c>
      <c r="CA50" s="225">
        <f t="shared" si="104"/>
        <v>8939.6231157486454</v>
      </c>
    </row>
    <row r="51" spans="2:119" ht="13.5" customHeight="1">
      <c r="B51" s="204" t="s">
        <v>298</v>
      </c>
      <c r="S51" s="223">
        <v>99.241</v>
      </c>
      <c r="T51" s="223">
        <v>109.996</v>
      </c>
      <c r="U51" s="223">
        <v>82.864000000000004</v>
      </c>
      <c r="V51" s="223">
        <v>116.61</v>
      </c>
      <c r="W51" s="223">
        <v>95.766000000000005</v>
      </c>
      <c r="X51" s="223">
        <v>143.91399999999999</v>
      </c>
      <c r="Y51" s="204">
        <v>188.61099999999999</v>
      </c>
      <c r="Z51" s="223">
        <v>195.16200000000001</v>
      </c>
      <c r="AA51" s="223">
        <v>186.977</v>
      </c>
      <c r="AB51" s="223">
        <v>156.72200000000001</v>
      </c>
      <c r="AC51" s="204">
        <v>200.637</v>
      </c>
      <c r="AD51" s="223">
        <v>195.49600000000001</v>
      </c>
      <c r="AE51" s="223">
        <v>172.178</v>
      </c>
      <c r="AF51" s="223">
        <v>146.13499999999999</v>
      </c>
      <c r="AG51" s="223">
        <v>129.583</v>
      </c>
      <c r="AH51" s="223">
        <v>118.172</v>
      </c>
      <c r="AI51" s="223">
        <v>104.40900000000001</v>
      </c>
      <c r="AJ51" s="223">
        <v>106.896</v>
      </c>
      <c r="AK51" s="223">
        <v>148.09800000000001</v>
      </c>
      <c r="AL51" s="223">
        <v>121.70099999999999</v>
      </c>
      <c r="AM51" s="223">
        <v>90.36</v>
      </c>
      <c r="AN51" s="223">
        <v>51.363</v>
      </c>
      <c r="AO51" s="223">
        <v>10.548</v>
      </c>
      <c r="AP51" s="223">
        <v>15.727</v>
      </c>
      <c r="AQ51" s="223">
        <v>2.794</v>
      </c>
      <c r="AR51" s="223">
        <v>2.7949999999999999</v>
      </c>
      <c r="AS51" s="223">
        <v>149.267</v>
      </c>
      <c r="AT51" s="223">
        <v>357.91899999999998</v>
      </c>
      <c r="AU51" s="223">
        <v>374.37099999999998</v>
      </c>
      <c r="AV51" s="223">
        <v>453.524</v>
      </c>
      <c r="BK51" s="223">
        <f t="shared" si="98"/>
        <v>116.61</v>
      </c>
      <c r="BL51" s="223">
        <f t="shared" si="99"/>
        <v>195.16200000000001</v>
      </c>
      <c r="BM51" s="223">
        <f t="shared" si="100"/>
        <v>195.49600000000001</v>
      </c>
      <c r="BN51" s="223">
        <f t="shared" si="101"/>
        <v>118.172</v>
      </c>
      <c r="BO51" s="223">
        <f t="shared" si="102"/>
        <v>121.70099999999999</v>
      </c>
      <c r="BP51" s="223">
        <f t="shared" si="103"/>
        <v>15.727</v>
      </c>
      <c r="BQ51" s="223">
        <v>357.91899999999998</v>
      </c>
    </row>
    <row r="52" spans="2:119" ht="13.5" customHeight="1">
      <c r="B52" s="204" t="s">
        <v>299</v>
      </c>
      <c r="S52" s="223">
        <v>94.679000000000002</v>
      </c>
      <c r="T52" s="223">
        <v>99.010999999999996</v>
      </c>
      <c r="U52" s="223">
        <v>101.828</v>
      </c>
      <c r="V52" s="223">
        <v>105.901</v>
      </c>
      <c r="W52" s="223">
        <v>103.96299999999999</v>
      </c>
      <c r="X52" s="223">
        <v>97.613</v>
      </c>
      <c r="Y52" s="204">
        <v>112.81699999999999</v>
      </c>
      <c r="Z52" s="223">
        <v>114.608</v>
      </c>
      <c r="AA52" s="223">
        <v>126.41500000000001</v>
      </c>
      <c r="AB52" s="223">
        <v>136.61000000000001</v>
      </c>
      <c r="AC52" s="204">
        <v>120.074</v>
      </c>
      <c r="AD52" s="223">
        <v>133.94</v>
      </c>
      <c r="AE52" s="223">
        <v>143.417</v>
      </c>
      <c r="AF52" s="223">
        <v>187.38900000000001</v>
      </c>
      <c r="AG52" s="223">
        <v>189.006</v>
      </c>
      <c r="AH52" s="223">
        <v>203.38399999999999</v>
      </c>
      <c r="AI52" s="223">
        <v>207.364</v>
      </c>
      <c r="AJ52" s="223">
        <v>208.965</v>
      </c>
      <c r="AK52" s="223">
        <v>206.61500000000001</v>
      </c>
      <c r="AL52" s="223">
        <v>201.768</v>
      </c>
      <c r="AM52" s="223">
        <v>191.989</v>
      </c>
      <c r="AN52" s="223">
        <v>200.83099999999999</v>
      </c>
      <c r="AO52" s="223">
        <v>176.05099999999999</v>
      </c>
      <c r="AP52" s="223">
        <v>167.667</v>
      </c>
      <c r="AQ52" s="223">
        <v>167.98099999999999</v>
      </c>
      <c r="AR52" s="223">
        <v>175.536</v>
      </c>
      <c r="AS52" s="223">
        <v>183.43</v>
      </c>
      <c r="AT52" s="223">
        <v>190.02</v>
      </c>
      <c r="AU52" s="223">
        <v>183.29499999999999</v>
      </c>
      <c r="AV52" s="223">
        <v>190.40700000000001</v>
      </c>
      <c r="BK52" s="223">
        <f t="shared" si="98"/>
        <v>105.901</v>
      </c>
      <c r="BL52" s="223">
        <f t="shared" si="99"/>
        <v>114.608</v>
      </c>
      <c r="BM52" s="223">
        <f t="shared" si="100"/>
        <v>133.94</v>
      </c>
      <c r="BN52" s="223">
        <f t="shared" si="101"/>
        <v>203.38399999999999</v>
      </c>
      <c r="BO52" s="223">
        <f t="shared" si="102"/>
        <v>201.768</v>
      </c>
      <c r="BP52" s="223">
        <f t="shared" si="103"/>
        <v>167.667</v>
      </c>
      <c r="BQ52" s="223">
        <v>190.02</v>
      </c>
      <c r="CF52" s="229"/>
      <c r="CH52" s="230"/>
    </row>
    <row r="53" spans="2:119" ht="13.5" customHeight="1">
      <c r="B53" s="204" t="s">
        <v>300</v>
      </c>
      <c r="S53" s="223">
        <v>121.691</v>
      </c>
      <c r="T53" s="223">
        <v>132.73500000000001</v>
      </c>
      <c r="U53" s="223">
        <v>140.35900000000001</v>
      </c>
      <c r="V53" s="223">
        <v>152.99199999999999</v>
      </c>
      <c r="W53" s="223">
        <v>166.15199999999999</v>
      </c>
      <c r="X53" s="223">
        <v>183.44200000000001</v>
      </c>
      <c r="Y53" s="204">
        <v>191.547</v>
      </c>
      <c r="Z53" s="223">
        <v>219.52699999999999</v>
      </c>
      <c r="AA53" s="223">
        <v>245.321</v>
      </c>
      <c r="AB53" s="223">
        <v>254.977</v>
      </c>
      <c r="AC53" s="204">
        <v>258.31599999999997</v>
      </c>
      <c r="AD53" s="223">
        <v>263.50400000000002</v>
      </c>
      <c r="AE53" s="223">
        <v>274.34899999999999</v>
      </c>
      <c r="AF53" s="223">
        <v>295.88299999999998</v>
      </c>
      <c r="AG53" s="223">
        <v>320.30399999999997</v>
      </c>
      <c r="AH53" s="223">
        <v>334.00599999999997</v>
      </c>
      <c r="AI53" s="223">
        <v>344.04199999999997</v>
      </c>
      <c r="AJ53" s="223">
        <v>358.77</v>
      </c>
      <c r="AK53" s="223">
        <v>374.245</v>
      </c>
      <c r="AL53" s="223">
        <v>388.02300000000002</v>
      </c>
      <c r="AM53" s="204">
        <v>398.36599999999999</v>
      </c>
      <c r="AN53" s="223">
        <v>373.79899999999998</v>
      </c>
      <c r="AO53" s="223">
        <v>393.41300000000001</v>
      </c>
      <c r="AP53" s="223">
        <v>406.73700000000002</v>
      </c>
      <c r="AQ53" s="223">
        <v>415.863</v>
      </c>
      <c r="AR53" s="223">
        <v>427.62799999999999</v>
      </c>
      <c r="AS53" s="223">
        <v>432.36500000000001</v>
      </c>
      <c r="AT53" s="223">
        <v>431.54899999999998</v>
      </c>
      <c r="AU53" s="223">
        <v>438.53899999999999</v>
      </c>
      <c r="AV53" s="223">
        <v>442.65</v>
      </c>
      <c r="BK53" s="223">
        <f t="shared" si="98"/>
        <v>152.99199999999999</v>
      </c>
      <c r="BL53" s="223">
        <f t="shared" si="99"/>
        <v>219.52699999999999</v>
      </c>
      <c r="BM53" s="223">
        <f t="shared" si="100"/>
        <v>263.50400000000002</v>
      </c>
      <c r="BN53" s="223">
        <f t="shared" si="101"/>
        <v>334.00599999999997</v>
      </c>
      <c r="BO53" s="223">
        <f t="shared" si="102"/>
        <v>388.02300000000002</v>
      </c>
      <c r="BP53" s="223">
        <f t="shared" si="103"/>
        <v>406.73700000000002</v>
      </c>
      <c r="BQ53" s="223">
        <v>431.54899999999998</v>
      </c>
      <c r="BS53" s="244" t="s">
        <v>1575</v>
      </c>
      <c r="BT53" s="149"/>
      <c r="BU53" s="149"/>
      <c r="BV53" s="245" t="s">
        <v>2580</v>
      </c>
      <c r="BW53" s="246"/>
      <c r="BX53" s="229" t="s">
        <v>1576</v>
      </c>
      <c r="BY53" s="246"/>
      <c r="BZ53" s="231" t="s">
        <v>505</v>
      </c>
      <c r="CA53" s="232">
        <v>0.16450000000000001</v>
      </c>
      <c r="CD53" s="208" t="s">
        <v>550</v>
      </c>
    </row>
    <row r="54" spans="2:119" ht="13.5" customHeight="1">
      <c r="B54" s="204" t="s">
        <v>301</v>
      </c>
      <c r="S54" s="223">
        <v>11.869</v>
      </c>
      <c r="T54" s="223">
        <v>15.601000000000001</v>
      </c>
      <c r="U54" s="223">
        <v>14.702</v>
      </c>
      <c r="V54" s="223">
        <v>14.852</v>
      </c>
      <c r="W54" s="223">
        <v>15.403</v>
      </c>
      <c r="X54" s="223">
        <v>16.545000000000002</v>
      </c>
      <c r="Y54" s="204">
        <v>17.109000000000002</v>
      </c>
      <c r="Z54" s="223">
        <v>18.734999999999999</v>
      </c>
      <c r="AA54" s="223">
        <v>20.782</v>
      </c>
      <c r="AB54" s="223">
        <v>22.526</v>
      </c>
      <c r="AC54" s="204">
        <v>22.67</v>
      </c>
      <c r="AD54" s="223">
        <v>29.155000000000001</v>
      </c>
      <c r="AE54" s="223">
        <v>32.219000000000001</v>
      </c>
      <c r="AF54" s="223">
        <v>30.32</v>
      </c>
      <c r="AG54" s="223">
        <v>29.888000000000002</v>
      </c>
      <c r="AH54" s="223">
        <v>30.279</v>
      </c>
      <c r="AI54" s="223">
        <v>35.987000000000002</v>
      </c>
      <c r="AJ54" s="223">
        <v>39.078000000000003</v>
      </c>
      <c r="AK54" s="223">
        <v>38.761000000000003</v>
      </c>
      <c r="AL54" s="223">
        <v>36.423999999999999</v>
      </c>
      <c r="AM54" s="223">
        <v>31.193999999999999</v>
      </c>
      <c r="AN54" s="223">
        <v>29.47</v>
      </c>
      <c r="AO54" s="223">
        <v>31.265000000000001</v>
      </c>
      <c r="AP54" s="223">
        <v>36.588999999999999</v>
      </c>
      <c r="AQ54" s="223">
        <v>37.017000000000003</v>
      </c>
      <c r="AR54" s="223">
        <v>37.756999999999998</v>
      </c>
      <c r="AS54" s="223">
        <v>55.429000000000002</v>
      </c>
      <c r="AT54" s="223">
        <v>50.298000000000002</v>
      </c>
      <c r="AU54" s="223">
        <v>37.911999999999999</v>
      </c>
      <c r="AV54" s="223">
        <v>52.27</v>
      </c>
      <c r="BK54" s="223">
        <f t="shared" si="98"/>
        <v>14.852</v>
      </c>
      <c r="BL54" s="223">
        <f t="shared" si="99"/>
        <v>18.734999999999999</v>
      </c>
      <c r="BM54" s="223">
        <f t="shared" si="100"/>
        <v>29.155000000000001</v>
      </c>
      <c r="BN54" s="223">
        <f t="shared" si="101"/>
        <v>30.279</v>
      </c>
      <c r="BO54" s="223">
        <f t="shared" si="102"/>
        <v>36.423999999999999</v>
      </c>
      <c r="BP54" s="223">
        <f t="shared" si="103"/>
        <v>36.588999999999999</v>
      </c>
      <c r="BQ54" s="223">
        <v>50.298000000000002</v>
      </c>
      <c r="BS54" s="246">
        <v>2024</v>
      </c>
      <c r="BT54" s="246">
        <v>2025</v>
      </c>
      <c r="BU54" s="149"/>
      <c r="BV54" s="245" t="s">
        <v>2586</v>
      </c>
      <c r="BW54" s="246"/>
      <c r="BX54" s="209">
        <v>2025</v>
      </c>
      <c r="BY54" s="246"/>
      <c r="BZ54" s="231" t="s">
        <v>610</v>
      </c>
      <c r="CA54" s="232">
        <v>2.5499999999999998E-2</v>
      </c>
      <c r="CE54" s="209" t="s">
        <v>1746</v>
      </c>
    </row>
    <row r="55" spans="2:119" ht="13.5" customHeight="1">
      <c r="B55" s="204" t="s">
        <v>302</v>
      </c>
      <c r="S55" s="223">
        <v>35.380000000000003</v>
      </c>
      <c r="T55" s="223">
        <v>37.94</v>
      </c>
      <c r="U55" s="223">
        <v>45.625</v>
      </c>
      <c r="V55" s="223">
        <v>51.811999999999998</v>
      </c>
      <c r="W55" s="223">
        <v>58.698</v>
      </c>
      <c r="X55" s="223">
        <v>62.188000000000002</v>
      </c>
      <c r="Y55" s="204">
        <v>64.906000000000006</v>
      </c>
      <c r="Z55" s="223">
        <v>48.168999999999997</v>
      </c>
      <c r="AA55" s="223">
        <v>50.314</v>
      </c>
      <c r="AB55" s="223">
        <v>50.853999999999999</v>
      </c>
      <c r="AC55" s="204">
        <v>56.631999999999998</v>
      </c>
      <c r="AD55" s="223">
        <v>58.856000000000002</v>
      </c>
      <c r="AE55" s="223">
        <v>60.326999999999998</v>
      </c>
      <c r="AF55" s="223">
        <v>63.457999999999998</v>
      </c>
      <c r="AG55" s="223">
        <v>64.081999999999994</v>
      </c>
      <c r="AH55" s="223">
        <v>65.015000000000001</v>
      </c>
      <c r="AI55" s="223">
        <v>65.224000000000004</v>
      </c>
      <c r="AJ55" s="223">
        <v>65.957999999999998</v>
      </c>
      <c r="AK55" s="223">
        <v>65.632000000000005</v>
      </c>
      <c r="AL55" s="223">
        <v>72.691000000000003</v>
      </c>
      <c r="AM55" s="223">
        <v>75.744</v>
      </c>
      <c r="AN55" s="223">
        <v>57.709000000000003</v>
      </c>
      <c r="AO55" s="223">
        <v>59.918999999999997</v>
      </c>
      <c r="AP55" s="223">
        <v>62.640999999999998</v>
      </c>
      <c r="AQ55" s="223">
        <v>72.465000000000003</v>
      </c>
      <c r="AR55" s="223">
        <v>84.825000000000003</v>
      </c>
      <c r="AS55" s="223">
        <v>97.73</v>
      </c>
      <c r="AT55" s="223">
        <v>117.43600000000001</v>
      </c>
      <c r="AU55" s="223">
        <v>134.059</v>
      </c>
      <c r="AV55" s="223">
        <v>146.71799999999999</v>
      </c>
      <c r="BK55" s="223">
        <f t="shared" si="98"/>
        <v>51.811999999999998</v>
      </c>
      <c r="BL55" s="223">
        <f t="shared" si="99"/>
        <v>48.168999999999997</v>
      </c>
      <c r="BM55" s="223">
        <f t="shared" si="100"/>
        <v>58.856000000000002</v>
      </c>
      <c r="BN55" s="223">
        <f t="shared" si="101"/>
        <v>65.015000000000001</v>
      </c>
      <c r="BO55" s="223">
        <f t="shared" si="102"/>
        <v>72.691000000000003</v>
      </c>
      <c r="BP55" s="223">
        <f t="shared" si="103"/>
        <v>62.640999999999998</v>
      </c>
      <c r="BQ55" s="223">
        <v>117.43600000000001</v>
      </c>
      <c r="BS55" s="248">
        <f>SUM(BP50:BP53)-BP64+BP56+BP58+BP57</f>
        <v>1095.5229999999999</v>
      </c>
      <c r="BT55" s="248">
        <f>SUM(BQ50:BQ53)-BQ64+BQ56+BQ58+BQ57</f>
        <v>1337.3869999999997</v>
      </c>
      <c r="BU55" s="149"/>
      <c r="BV55" s="248">
        <f>AVERAGE(BS55:BS55)</f>
        <v>1095.5229999999999</v>
      </c>
      <c r="BW55" s="246"/>
      <c r="BX55" s="212">
        <f>AVERAGE(BR33)*(1-BR47)</f>
        <v>180.55415004800008</v>
      </c>
      <c r="BY55" s="246"/>
      <c r="BZ55" s="231" t="s">
        <v>583</v>
      </c>
      <c r="CA55" s="232">
        <f>BV64</f>
        <v>5.11E-2</v>
      </c>
      <c r="CE55" s="209" t="s">
        <v>1747</v>
      </c>
    </row>
    <row r="56" spans="2:119" ht="13.5" customHeight="1">
      <c r="B56" s="204" t="s">
        <v>304</v>
      </c>
      <c r="S56" s="223">
        <v>42.375999999999998</v>
      </c>
      <c r="T56" s="223">
        <v>42.475999999999999</v>
      </c>
      <c r="U56" s="223">
        <v>41.817</v>
      </c>
      <c r="V56" s="223">
        <v>43.716999999999999</v>
      </c>
      <c r="W56" s="223">
        <v>43.167999999999999</v>
      </c>
      <c r="X56" s="223">
        <v>42.668999999999997</v>
      </c>
      <c r="Y56" s="204">
        <v>41.777999999999999</v>
      </c>
      <c r="Z56" s="223">
        <v>41.192</v>
      </c>
      <c r="AA56" s="223">
        <v>40.691000000000003</v>
      </c>
      <c r="AB56" s="223">
        <v>92.790999999999997</v>
      </c>
      <c r="AC56" s="204">
        <v>133.55199999999999</v>
      </c>
      <c r="AD56" s="223">
        <v>131.95500000000001</v>
      </c>
      <c r="AE56" s="223">
        <v>176.892</v>
      </c>
      <c r="AF56" s="223">
        <v>177.423</v>
      </c>
      <c r="AG56" s="223">
        <v>174.684</v>
      </c>
      <c r="AH56" s="223">
        <v>192.636</v>
      </c>
      <c r="AI56" s="223">
        <v>189.839</v>
      </c>
      <c r="AJ56" s="223">
        <v>187.494</v>
      </c>
      <c r="AK56" s="223">
        <v>184.52</v>
      </c>
      <c r="AL56" s="223">
        <v>188.756</v>
      </c>
      <c r="AM56" s="223">
        <v>185.845</v>
      </c>
      <c r="AN56" s="223">
        <v>183.316</v>
      </c>
      <c r="AO56" s="223">
        <v>180.923</v>
      </c>
      <c r="AP56" s="223">
        <v>177.78700000000001</v>
      </c>
      <c r="AQ56" s="223">
        <v>175.33099999999999</v>
      </c>
      <c r="AR56" s="223">
        <v>174.059</v>
      </c>
      <c r="AS56" s="223">
        <v>170.715</v>
      </c>
      <c r="AT56" s="223">
        <v>173.58699999999999</v>
      </c>
      <c r="AU56" s="223">
        <v>170.273</v>
      </c>
      <c r="AV56" s="223">
        <v>167.19399999999999</v>
      </c>
      <c r="BK56" s="223">
        <f t="shared" si="98"/>
        <v>43.716999999999999</v>
      </c>
      <c r="BL56" s="223">
        <f t="shared" si="99"/>
        <v>41.192</v>
      </c>
      <c r="BM56" s="223">
        <f t="shared" si="100"/>
        <v>131.95500000000001</v>
      </c>
      <c r="BN56" s="223">
        <f t="shared" si="101"/>
        <v>192.636</v>
      </c>
      <c r="BO56" s="223">
        <f t="shared" si="102"/>
        <v>188.756</v>
      </c>
      <c r="BP56" s="223">
        <f t="shared" si="103"/>
        <v>177.78700000000001</v>
      </c>
      <c r="BQ56" s="223">
        <v>173.58699999999999</v>
      </c>
      <c r="BS56" s="149"/>
      <c r="BT56" s="246"/>
      <c r="BU56" s="246"/>
      <c r="BV56" s="246"/>
      <c r="BW56" s="246"/>
      <c r="BX56" s="220">
        <f>BX55/BV55</f>
        <v>0.16481091683880675</v>
      </c>
      <c r="BY56" s="246"/>
      <c r="BZ56" s="231" t="s">
        <v>650</v>
      </c>
      <c r="CA56" s="232">
        <f>10.1%-CA55</f>
        <v>4.9899999999999993E-2</v>
      </c>
      <c r="CE56" s="209" t="s">
        <v>1509</v>
      </c>
    </row>
    <row r="57" spans="2:119" ht="13.5" customHeight="1">
      <c r="B57" s="204" t="s">
        <v>303</v>
      </c>
      <c r="T57" s="204">
        <v>0</v>
      </c>
      <c r="U57" s="204">
        <v>0</v>
      </c>
      <c r="V57" s="223">
        <v>39.923999999999999</v>
      </c>
      <c r="W57" s="223">
        <v>39.286999999999999</v>
      </c>
      <c r="X57" s="223">
        <v>37.927</v>
      </c>
      <c r="Y57" s="204">
        <v>38.798000000000002</v>
      </c>
      <c r="Z57" s="223">
        <v>38.064999999999998</v>
      </c>
      <c r="AA57" s="223">
        <v>37.697000000000003</v>
      </c>
      <c r="AB57" s="223">
        <v>37.030999999999999</v>
      </c>
      <c r="AC57" s="204">
        <v>36.844999999999999</v>
      </c>
      <c r="AD57" s="223">
        <v>36.276000000000003</v>
      </c>
      <c r="AE57" s="223">
        <v>35.549999999999997</v>
      </c>
      <c r="AF57" s="223">
        <v>34.743000000000002</v>
      </c>
      <c r="AG57" s="223">
        <v>34.113999999999997</v>
      </c>
      <c r="AH57" s="223">
        <v>33.323</v>
      </c>
      <c r="AI57" s="223">
        <v>32.569000000000003</v>
      </c>
      <c r="AJ57" s="223">
        <v>31.751000000000001</v>
      </c>
      <c r="AK57" s="223">
        <v>31.364000000000001</v>
      </c>
      <c r="AL57" s="223">
        <v>31.091999999999999</v>
      </c>
      <c r="AM57" s="223">
        <v>30.234000000000002</v>
      </c>
      <c r="AN57" s="223">
        <v>29.366</v>
      </c>
      <c r="AO57" s="223">
        <v>28.888000000000002</v>
      </c>
      <c r="AP57" s="223">
        <v>28.018000000000001</v>
      </c>
      <c r="AQ57" s="223">
        <v>27.126000000000001</v>
      </c>
      <c r="AR57" s="223">
        <v>27.606000000000002</v>
      </c>
      <c r="AS57" s="223">
        <v>26.79</v>
      </c>
      <c r="AT57" s="223">
        <v>25.972000000000001</v>
      </c>
      <c r="AU57" s="223">
        <v>25.209</v>
      </c>
      <c r="AV57" s="223">
        <v>24.356999999999999</v>
      </c>
      <c r="BK57" s="223">
        <f t="shared" si="98"/>
        <v>39.923999999999999</v>
      </c>
      <c r="BL57" s="223">
        <f t="shared" si="99"/>
        <v>38.064999999999998</v>
      </c>
      <c r="BM57" s="223">
        <f t="shared" si="100"/>
        <v>36.276000000000003</v>
      </c>
      <c r="BN57" s="223">
        <f t="shared" si="101"/>
        <v>33.323</v>
      </c>
      <c r="BO57" s="223">
        <f t="shared" si="102"/>
        <v>31.091999999999999</v>
      </c>
      <c r="BP57" s="223">
        <f t="shared" si="103"/>
        <v>28.018000000000001</v>
      </c>
      <c r="BQ57" s="223">
        <v>25.972000000000001</v>
      </c>
      <c r="BS57" s="250" t="s">
        <v>2368</v>
      </c>
      <c r="BT57" s="246"/>
      <c r="BU57" s="246"/>
      <c r="BV57" s="149"/>
      <c r="BW57" s="246"/>
      <c r="BX57" s="246"/>
      <c r="BY57" s="246"/>
      <c r="BZ57" s="231" t="s">
        <v>548</v>
      </c>
      <c r="CA57" s="227">
        <f>'Notes | Analysis'!T240</f>
        <v>0.76850681198020476</v>
      </c>
      <c r="CD57" s="208" t="s">
        <v>549</v>
      </c>
    </row>
    <row r="58" spans="2:119" ht="13.5" customHeight="1">
      <c r="B58" s="204" t="s">
        <v>305</v>
      </c>
      <c r="S58" s="223">
        <v>26.812999999999999</v>
      </c>
      <c r="T58" s="223">
        <v>26.030999999999999</v>
      </c>
      <c r="U58" s="223">
        <v>25.494</v>
      </c>
      <c r="V58" s="223">
        <v>25.407</v>
      </c>
      <c r="W58" s="223">
        <v>25.024000000000001</v>
      </c>
      <c r="X58" s="223">
        <v>10.645</v>
      </c>
      <c r="Y58" s="204">
        <v>10.64</v>
      </c>
      <c r="Z58" s="223">
        <v>10.638999999999999</v>
      </c>
      <c r="AA58" s="223">
        <v>10.097</v>
      </c>
      <c r="AB58" s="223">
        <v>9.8949999999999996</v>
      </c>
      <c r="AC58" s="204">
        <v>9.49</v>
      </c>
      <c r="AD58" s="223">
        <v>90.617999999999995</v>
      </c>
      <c r="AE58" s="223">
        <v>88.471999999999994</v>
      </c>
      <c r="AF58" s="223">
        <v>86.162000000000006</v>
      </c>
      <c r="AG58" s="223">
        <v>83.36</v>
      </c>
      <c r="AH58" s="223">
        <v>81.161000000000001</v>
      </c>
      <c r="AI58" s="223">
        <v>78.668999999999997</v>
      </c>
      <c r="AJ58" s="223">
        <v>76.116</v>
      </c>
      <c r="AK58" s="223">
        <v>73.451999999999998</v>
      </c>
      <c r="AL58" s="223">
        <v>71.055999999999997</v>
      </c>
      <c r="AM58" s="223">
        <v>68.421000000000006</v>
      </c>
      <c r="AN58" s="223">
        <v>6.9550000000000001</v>
      </c>
      <c r="AO58" s="223">
        <v>6.92</v>
      </c>
      <c r="AP58" s="223">
        <v>6.5129999999999999</v>
      </c>
      <c r="AQ58" s="223">
        <v>6.4690000000000003</v>
      </c>
      <c r="AR58" s="223">
        <v>6.5519999999999996</v>
      </c>
      <c r="AS58" s="223">
        <v>6.3680000000000003</v>
      </c>
      <c r="AT58" s="223">
        <v>6.1859999999999999</v>
      </c>
      <c r="AU58" s="223">
        <v>5.9459999999999997</v>
      </c>
      <c r="AV58" s="223">
        <v>5.742</v>
      </c>
      <c r="BK58" s="223">
        <f t="shared" si="98"/>
        <v>25.407</v>
      </c>
      <c r="BL58" s="223">
        <f t="shared" si="99"/>
        <v>10.638999999999999</v>
      </c>
      <c r="BM58" s="223">
        <f t="shared" si="100"/>
        <v>90.617999999999995</v>
      </c>
      <c r="BN58" s="223">
        <f t="shared" si="101"/>
        <v>81.161000000000001</v>
      </c>
      <c r="BO58" s="223">
        <f t="shared" si="102"/>
        <v>71.055999999999997</v>
      </c>
      <c r="BP58" s="223">
        <f t="shared" si="103"/>
        <v>6.5129999999999999</v>
      </c>
      <c r="BQ58" s="223">
        <v>6.1859999999999999</v>
      </c>
      <c r="BS58" s="252" t="s">
        <v>2369</v>
      </c>
      <c r="BT58" s="149"/>
      <c r="BU58" s="149"/>
      <c r="BV58" s="249">
        <f>'Main | Overview'!C5</f>
        <v>12569.423790000001</v>
      </c>
      <c r="BW58" s="246"/>
      <c r="BX58" s="149"/>
      <c r="BY58" s="246"/>
      <c r="BZ58" s="231" t="s">
        <v>611</v>
      </c>
      <c r="CA58" s="232">
        <f>+CA55+(CA56*CA57)</f>
        <v>8.9448489917812207E-2</v>
      </c>
      <c r="CE58" s="209" t="s">
        <v>1566</v>
      </c>
    </row>
    <row r="59" spans="2:119" ht="13.5" customHeight="1">
      <c r="B59" s="204" t="s">
        <v>306</v>
      </c>
      <c r="S59" s="223">
        <v>7.6589999999999998</v>
      </c>
      <c r="T59" s="223">
        <v>7.7649999999999997</v>
      </c>
      <c r="U59" s="223">
        <v>7.452</v>
      </c>
      <c r="V59" s="223">
        <v>7.6559999999999997</v>
      </c>
      <c r="W59" s="223">
        <v>7.5090000000000003</v>
      </c>
      <c r="X59" s="223">
        <v>7.665</v>
      </c>
      <c r="Y59" s="204">
        <v>8.0039999999999996</v>
      </c>
      <c r="Z59" s="223">
        <v>8.3719999999999999</v>
      </c>
      <c r="AA59" s="223">
        <v>8.0060000000000002</v>
      </c>
      <c r="AB59" s="223">
        <v>8.109</v>
      </c>
      <c r="AC59" s="204">
        <v>7.9109999999999996</v>
      </c>
      <c r="AD59" s="223">
        <v>166.38800000000001</v>
      </c>
      <c r="AE59" s="223">
        <v>166.232</v>
      </c>
      <c r="AF59" s="223">
        <v>165.779</v>
      </c>
      <c r="AG59" s="223">
        <v>165.42599999999999</v>
      </c>
      <c r="AH59" s="223">
        <v>166.04599999999999</v>
      </c>
      <c r="AI59" s="223">
        <v>166.161</v>
      </c>
      <c r="AJ59" s="223">
        <v>166.166</v>
      </c>
      <c r="AK59" s="223">
        <v>165.95400000000001</v>
      </c>
      <c r="AL59" s="223">
        <v>166.27</v>
      </c>
      <c r="AM59" s="223">
        <v>166.10300000000001</v>
      </c>
      <c r="AN59" s="223">
        <v>166.05</v>
      </c>
      <c r="AO59" s="223">
        <v>166.35499999999999</v>
      </c>
      <c r="AP59" s="223">
        <v>165.82599999999999</v>
      </c>
      <c r="AQ59" s="223">
        <v>166.12299999999999</v>
      </c>
      <c r="AR59" s="223">
        <v>166.75200000000001</v>
      </c>
      <c r="AS59" s="223">
        <v>166.74799999999999</v>
      </c>
      <c r="AT59" s="223">
        <v>166.75</v>
      </c>
      <c r="AU59" s="223">
        <v>166.589</v>
      </c>
      <c r="AV59" s="223">
        <v>166.523</v>
      </c>
      <c r="BK59" s="223">
        <f t="shared" si="98"/>
        <v>7.6559999999999997</v>
      </c>
      <c r="BL59" s="223">
        <f t="shared" si="99"/>
        <v>8.3719999999999999</v>
      </c>
      <c r="BM59" s="223">
        <f t="shared" si="100"/>
        <v>166.38800000000001</v>
      </c>
      <c r="BN59" s="223">
        <f t="shared" si="101"/>
        <v>166.04599999999999</v>
      </c>
      <c r="BO59" s="223">
        <f t="shared" si="102"/>
        <v>166.27</v>
      </c>
      <c r="BP59" s="223">
        <f t="shared" si="103"/>
        <v>165.82599999999999</v>
      </c>
      <c r="BQ59" s="223">
        <v>166.75</v>
      </c>
      <c r="BS59" s="252" t="s">
        <v>2370</v>
      </c>
      <c r="BT59" s="149"/>
      <c r="BU59" s="149"/>
      <c r="BV59" s="253">
        <f>'Main | Overview'!C7/('Main | Overview'!C7+BV58)</f>
        <v>0</v>
      </c>
      <c r="BW59" s="250"/>
      <c r="BX59" s="149"/>
      <c r="BY59" s="246"/>
      <c r="BZ59" s="231"/>
      <c r="CE59" s="209" t="s">
        <v>565</v>
      </c>
      <c r="CL59" s="208"/>
      <c r="CM59" s="208"/>
    </row>
    <row r="60" spans="2:119" ht="13.5" customHeight="1">
      <c r="B60" s="204" t="s">
        <v>584</v>
      </c>
      <c r="S60" s="223">
        <v>31.861999999999998</v>
      </c>
      <c r="T60" s="223">
        <v>34.661000000000001</v>
      </c>
      <c r="U60" s="223">
        <v>32.817999999999998</v>
      </c>
      <c r="V60" s="223">
        <v>31.305</v>
      </c>
      <c r="W60" s="223">
        <v>32.945</v>
      </c>
      <c r="X60" s="223">
        <v>36.473999999999997</v>
      </c>
      <c r="Y60" s="204">
        <v>47.91</v>
      </c>
      <c r="Z60" s="223">
        <v>50.139000000000003</v>
      </c>
      <c r="AA60" s="223">
        <v>48.978000000000002</v>
      </c>
      <c r="AB60" s="223">
        <v>47.67</v>
      </c>
      <c r="AC60" s="204">
        <v>49.454000000000001</v>
      </c>
      <c r="AD60" s="223">
        <v>65.697999999999993</v>
      </c>
      <c r="AE60" s="223">
        <v>70.08</v>
      </c>
      <c r="AF60" s="223">
        <v>68.403999999999996</v>
      </c>
      <c r="AG60" s="223">
        <v>62.826999999999998</v>
      </c>
      <c r="AH60" s="223">
        <v>64.212999999999994</v>
      </c>
      <c r="AI60" s="223">
        <v>65.173000000000002</v>
      </c>
      <c r="AJ60" s="223">
        <v>66.671000000000006</v>
      </c>
      <c r="AK60" s="223">
        <v>64.236000000000004</v>
      </c>
      <c r="AL60" s="223">
        <v>85.158000000000001</v>
      </c>
      <c r="AM60" s="223">
        <v>84.661000000000001</v>
      </c>
      <c r="AN60" s="223">
        <v>108.852</v>
      </c>
      <c r="AO60" s="223">
        <v>105.851</v>
      </c>
      <c r="AP60" s="223">
        <v>100.33199999999999</v>
      </c>
      <c r="AQ60" s="223">
        <v>102.355</v>
      </c>
      <c r="AR60" s="223">
        <v>109.14100000000001</v>
      </c>
      <c r="AS60" s="223">
        <v>94.477999999999994</v>
      </c>
      <c r="AT60" s="223">
        <v>79.188000000000002</v>
      </c>
      <c r="AU60" s="223">
        <v>79.971999999999994</v>
      </c>
      <c r="AV60" s="223">
        <v>79.376000000000005</v>
      </c>
      <c r="BK60" s="223">
        <f t="shared" si="98"/>
        <v>31.305</v>
      </c>
      <c r="BL60" s="223">
        <f t="shared" si="99"/>
        <v>50.139000000000003</v>
      </c>
      <c r="BM60" s="223">
        <f t="shared" si="100"/>
        <v>65.697999999999993</v>
      </c>
      <c r="BN60" s="223">
        <f t="shared" si="101"/>
        <v>64.212999999999994</v>
      </c>
      <c r="BO60" s="223">
        <f t="shared" si="102"/>
        <v>85.158000000000001</v>
      </c>
      <c r="BP60" s="223">
        <f t="shared" si="103"/>
        <v>100.33199999999999</v>
      </c>
      <c r="BQ60" s="223">
        <v>79.188000000000002</v>
      </c>
      <c r="BS60" s="252" t="s">
        <v>2371</v>
      </c>
      <c r="BT60" s="149"/>
      <c r="BU60" s="149"/>
      <c r="BV60" s="253">
        <f>BV58/(BV58+'Main | Overview'!C7)</f>
        <v>1</v>
      </c>
      <c r="BW60" s="246"/>
      <c r="BX60" s="149"/>
      <c r="BY60" s="246"/>
      <c r="BZ60" s="231" t="s">
        <v>502</v>
      </c>
      <c r="CA60" s="225">
        <f>NPV(CA58,BR39:DO39)</f>
        <v>16781.401136964192</v>
      </c>
      <c r="CF60" s="209" t="s">
        <v>1514</v>
      </c>
    </row>
    <row r="61" spans="2:119" ht="13.5" customHeight="1">
      <c r="B61" s="204" t="s">
        <v>307</v>
      </c>
      <c r="S61" s="223">
        <v>1.613</v>
      </c>
      <c r="T61" s="223">
        <v>1.6319999999999999</v>
      </c>
      <c r="U61" s="223">
        <v>9.6300000000000008</v>
      </c>
      <c r="V61" s="223">
        <v>2.9460000000000002</v>
      </c>
      <c r="W61" s="223">
        <v>3.8690000000000002</v>
      </c>
      <c r="X61" s="223">
        <v>6.7370000000000001</v>
      </c>
      <c r="Y61" s="204">
        <v>8.0690000000000008</v>
      </c>
      <c r="Z61" s="223">
        <v>8.7050000000000001</v>
      </c>
      <c r="AA61" s="223">
        <v>9.9139999999999997</v>
      </c>
      <c r="AB61" s="223">
        <v>10.756</v>
      </c>
      <c r="AC61" s="204">
        <v>11.37</v>
      </c>
      <c r="AD61" s="223">
        <v>12.984999999999999</v>
      </c>
      <c r="AE61" s="223">
        <v>13.694000000000001</v>
      </c>
      <c r="AF61" s="223">
        <v>13.97</v>
      </c>
      <c r="AG61" s="223">
        <v>13.483000000000001</v>
      </c>
      <c r="AH61" s="223">
        <v>12.792999999999999</v>
      </c>
      <c r="AI61" s="223">
        <v>11.173</v>
      </c>
      <c r="AJ61" s="223">
        <v>10.5</v>
      </c>
      <c r="AK61" s="204">
        <v>14.743</v>
      </c>
      <c r="AL61" s="223">
        <v>25.88</v>
      </c>
      <c r="AM61" s="223">
        <v>33.814</v>
      </c>
      <c r="AN61" s="223">
        <v>38.518000000000001</v>
      </c>
      <c r="AO61" s="223">
        <v>38.514000000000003</v>
      </c>
      <c r="AP61" s="223">
        <v>40.939</v>
      </c>
      <c r="AQ61" s="223">
        <v>43.728999999999999</v>
      </c>
      <c r="AR61" s="223">
        <v>40.39</v>
      </c>
      <c r="AS61" s="223">
        <v>40.020000000000003</v>
      </c>
      <c r="AT61" s="223">
        <v>40.716000000000001</v>
      </c>
      <c r="AU61" s="223">
        <v>40.984000000000002</v>
      </c>
      <c r="AV61" s="223">
        <v>40.691000000000003</v>
      </c>
      <c r="BK61" s="223">
        <f t="shared" si="98"/>
        <v>2.9460000000000002</v>
      </c>
      <c r="BL61" s="223">
        <f t="shared" si="99"/>
        <v>8.7050000000000001</v>
      </c>
      <c r="BM61" s="223">
        <f t="shared" si="100"/>
        <v>12.984999999999999</v>
      </c>
      <c r="BN61" s="223">
        <f t="shared" si="101"/>
        <v>12.792999999999999</v>
      </c>
      <c r="BO61" s="223">
        <f t="shared" si="102"/>
        <v>25.88</v>
      </c>
      <c r="BP61" s="223">
        <f t="shared" si="103"/>
        <v>40.939</v>
      </c>
      <c r="BQ61" s="223">
        <v>40.716000000000001</v>
      </c>
      <c r="BS61" s="254" t="s">
        <v>2372</v>
      </c>
      <c r="BT61" s="255"/>
      <c r="BU61" s="255"/>
      <c r="BV61" s="256">
        <f>BV59/BV60</f>
        <v>0</v>
      </c>
      <c r="BW61" s="246"/>
      <c r="BX61" s="246"/>
      <c r="BY61" s="246"/>
      <c r="BZ61" s="231" t="s">
        <v>295</v>
      </c>
      <c r="CA61" s="225">
        <f>'Main | Overview'!C4</f>
        <v>39.389000000000003</v>
      </c>
      <c r="CB61" s="233"/>
      <c r="CF61" s="209" t="s">
        <v>555</v>
      </c>
      <c r="CM61" s="210"/>
    </row>
    <row r="62" spans="2:119" s="210" customFormat="1" ht="13.5" customHeight="1">
      <c r="B62" s="210" t="s">
        <v>308</v>
      </c>
      <c r="C62" s="213"/>
      <c r="D62" s="213"/>
      <c r="E62" s="213"/>
      <c r="F62" s="213"/>
      <c r="G62" s="213"/>
      <c r="H62" s="213"/>
      <c r="I62" s="213"/>
      <c r="J62" s="213"/>
      <c r="K62" s="213"/>
      <c r="L62" s="213"/>
      <c r="M62" s="213"/>
      <c r="N62" s="213"/>
      <c r="O62" s="213"/>
      <c r="P62" s="213"/>
      <c r="Q62" s="213"/>
      <c r="R62" s="213"/>
      <c r="S62" s="206">
        <f t="shared" ref="S62:AS62" si="105">SUM(S50:S61)</f>
        <v>568.78899999999999</v>
      </c>
      <c r="T62" s="206">
        <f>SUM(T50:T61)</f>
        <v>585.10899999999981</v>
      </c>
      <c r="U62" s="206">
        <f t="shared" si="105"/>
        <v>614.17000000000007</v>
      </c>
      <c r="V62" s="206">
        <f t="shared" si="105"/>
        <v>665.90099999999995</v>
      </c>
      <c r="W62" s="206">
        <f t="shared" si="105"/>
        <v>664.24000000000012</v>
      </c>
      <c r="X62" s="206">
        <f t="shared" si="105"/>
        <v>780.19999999999982</v>
      </c>
      <c r="Y62" s="206">
        <f t="shared" si="105"/>
        <v>810.30399999999997</v>
      </c>
      <c r="Z62" s="206">
        <f t="shared" si="105"/>
        <v>822.98299999999995</v>
      </c>
      <c r="AA62" s="206">
        <f t="shared" si="105"/>
        <v>840.82399999999996</v>
      </c>
      <c r="AB62" s="206">
        <f t="shared" si="105"/>
        <v>910.21799999999996</v>
      </c>
      <c r="AC62" s="206">
        <f t="shared" si="105"/>
        <v>973.24099999999987</v>
      </c>
      <c r="AD62" s="206">
        <f t="shared" si="105"/>
        <v>1244.2499999999998</v>
      </c>
      <c r="AE62" s="206">
        <f t="shared" si="105"/>
        <v>1301.5729999999999</v>
      </c>
      <c r="AF62" s="206">
        <f t="shared" si="105"/>
        <v>1327.9</v>
      </c>
      <c r="AG62" s="206">
        <f t="shared" si="105"/>
        <v>1321.6009999999999</v>
      </c>
      <c r="AH62" s="206">
        <f t="shared" si="105"/>
        <v>1370.886</v>
      </c>
      <c r="AI62" s="206">
        <f t="shared" si="105"/>
        <v>1395.298</v>
      </c>
      <c r="AJ62" s="206">
        <f t="shared" si="105"/>
        <v>1432.5319999999999</v>
      </c>
      <c r="AK62" s="206">
        <f t="shared" si="105"/>
        <v>1468.377</v>
      </c>
      <c r="AL62" s="206">
        <f t="shared" si="105"/>
        <v>1556.3050000000003</v>
      </c>
      <c r="AM62" s="206">
        <f t="shared" si="105"/>
        <v>1579.845</v>
      </c>
      <c r="AN62" s="206">
        <f t="shared" si="105"/>
        <v>1534.5609999999999</v>
      </c>
      <c r="AO62" s="206">
        <f t="shared" si="105"/>
        <v>1479.1229999999998</v>
      </c>
      <c r="AP62" s="206">
        <f t="shared" si="105"/>
        <v>1533.1759999999997</v>
      </c>
      <c r="AQ62" s="206">
        <f t="shared" si="105"/>
        <v>1593.307</v>
      </c>
      <c r="AR62" s="206">
        <f t="shared" si="105"/>
        <v>1674.809</v>
      </c>
      <c r="AS62" s="206">
        <f t="shared" si="105"/>
        <v>1744.3689999999999</v>
      </c>
      <c r="AT62" s="206">
        <f t="shared" ref="AT62" si="106">SUM(AT50:AT61)</f>
        <v>1826.5109999999997</v>
      </c>
      <c r="AU62" s="206">
        <f t="shared" ref="AU62:AV62" si="107">SUM(AU50:AU61)</f>
        <v>1898.4379999999996</v>
      </c>
      <c r="AV62" s="206">
        <f t="shared" si="107"/>
        <v>1974.7229999999997</v>
      </c>
      <c r="AW62" s="208"/>
      <c r="AX62" s="208"/>
      <c r="AY62" s="208"/>
      <c r="AZ62" s="208"/>
      <c r="BA62" s="208"/>
      <c r="BB62" s="208"/>
      <c r="BK62" s="206">
        <f t="shared" ref="BK62:BQ62" si="108">SUM(BK50:BK61)</f>
        <v>665.90099999999995</v>
      </c>
      <c r="BL62" s="206">
        <f t="shared" si="108"/>
        <v>822.98299999999995</v>
      </c>
      <c r="BM62" s="206">
        <f t="shared" si="108"/>
        <v>1244.2499999999998</v>
      </c>
      <c r="BN62" s="206">
        <f t="shared" si="108"/>
        <v>1370.886</v>
      </c>
      <c r="BO62" s="206">
        <f t="shared" si="108"/>
        <v>1556.3050000000003</v>
      </c>
      <c r="BP62" s="206">
        <f t="shared" si="108"/>
        <v>1533.1759999999997</v>
      </c>
      <c r="BQ62" s="206">
        <f t="shared" si="108"/>
        <v>1826.5109999999997</v>
      </c>
      <c r="BR62" s="209"/>
      <c r="BS62" s="149"/>
      <c r="BT62" s="149"/>
      <c r="BU62" s="149"/>
      <c r="BV62" s="149"/>
      <c r="BW62" s="246"/>
      <c r="BX62" s="246"/>
      <c r="BY62" s="246"/>
      <c r="BZ62" s="231" t="s">
        <v>503</v>
      </c>
      <c r="CA62" s="227">
        <f>CA60/CA61</f>
        <v>426.04283269349793</v>
      </c>
      <c r="CB62" s="234"/>
      <c r="CD62" s="209"/>
      <c r="CE62" s="209"/>
      <c r="CF62" s="209"/>
      <c r="CG62" s="209" t="s">
        <v>1748</v>
      </c>
      <c r="CH62" s="209"/>
      <c r="CI62" s="209"/>
      <c r="CJ62" s="209"/>
      <c r="CK62" s="209"/>
      <c r="CL62" s="209"/>
      <c r="CM62" s="209"/>
      <c r="CN62" s="209"/>
      <c r="CO62" s="209"/>
      <c r="CP62" s="209"/>
      <c r="CQ62" s="209"/>
      <c r="CR62" s="209"/>
      <c r="CS62" s="209"/>
      <c r="CT62" s="208"/>
      <c r="CU62" s="208"/>
      <c r="CV62" s="208"/>
      <c r="CW62" s="208"/>
      <c r="CX62" s="208"/>
      <c r="CY62" s="208"/>
      <c r="CZ62" s="208"/>
      <c r="DA62" s="208"/>
      <c r="DB62" s="208"/>
      <c r="DC62" s="208"/>
      <c r="DD62" s="208"/>
      <c r="DE62" s="208"/>
      <c r="DF62" s="208"/>
      <c r="DG62" s="208"/>
      <c r="DH62" s="208"/>
      <c r="DI62" s="208"/>
      <c r="DJ62" s="208"/>
      <c r="DK62" s="208"/>
      <c r="DL62" s="208"/>
      <c r="DM62" s="208"/>
      <c r="DN62" s="208"/>
      <c r="DO62" s="208"/>
    </row>
    <row r="63" spans="2:119" ht="13.5" customHeight="1">
      <c r="AQ63" s="204"/>
      <c r="AR63" s="204"/>
      <c r="AS63" s="210"/>
      <c r="AT63" s="204"/>
      <c r="BL63" s="223"/>
      <c r="BM63" s="223"/>
      <c r="BN63" s="223"/>
      <c r="BO63" s="223"/>
      <c r="BP63" s="223"/>
      <c r="BS63" s="255" t="s">
        <v>2373</v>
      </c>
      <c r="BT63" s="149"/>
      <c r="BU63" s="149"/>
      <c r="BV63" s="246"/>
      <c r="BW63" s="250"/>
      <c r="BX63" s="250"/>
      <c r="BY63" s="250"/>
      <c r="BZ63" s="231" t="s">
        <v>504</v>
      </c>
      <c r="CA63" s="227">
        <f>'Main | Overview'!C3</f>
        <v>319.11</v>
      </c>
      <c r="CB63" s="235"/>
      <c r="CE63" s="209" t="s">
        <v>657</v>
      </c>
      <c r="CN63" s="208"/>
      <c r="CO63" s="208"/>
      <c r="CP63" s="210"/>
      <c r="CQ63" s="210"/>
      <c r="CR63" s="208"/>
      <c r="CS63" s="208"/>
    </row>
    <row r="64" spans="2:119" ht="13.5" customHeight="1">
      <c r="B64" s="204" t="s">
        <v>309</v>
      </c>
      <c r="S64" s="223">
        <v>7.6920000000000002</v>
      </c>
      <c r="T64" s="223">
        <v>8.7430000000000003</v>
      </c>
      <c r="U64" s="223">
        <v>11.962</v>
      </c>
      <c r="V64" s="223">
        <v>15.111000000000001</v>
      </c>
      <c r="W64" s="223">
        <v>15.843</v>
      </c>
      <c r="X64" s="223">
        <v>14.432</v>
      </c>
      <c r="Y64" s="223">
        <v>14.544</v>
      </c>
      <c r="Z64" s="223">
        <v>14.109</v>
      </c>
      <c r="AA64" s="223">
        <v>15.388999999999999</v>
      </c>
      <c r="AB64" s="223">
        <v>13.712</v>
      </c>
      <c r="AC64" s="204">
        <v>13.679</v>
      </c>
      <c r="AD64" s="223">
        <v>13.420999999999999</v>
      </c>
      <c r="AE64" s="223">
        <v>14.137</v>
      </c>
      <c r="AF64" s="223">
        <v>23.096</v>
      </c>
      <c r="AG64" s="223">
        <v>25.364999999999998</v>
      </c>
      <c r="AH64" s="223">
        <v>26.678999999999998</v>
      </c>
      <c r="AI64" s="223">
        <v>28.199000000000002</v>
      </c>
      <c r="AJ64" s="223">
        <v>25.818999999999999</v>
      </c>
      <c r="AK64" s="223">
        <v>27.995999999999999</v>
      </c>
      <c r="AL64" s="223">
        <v>27.155000000000001</v>
      </c>
      <c r="AM64" s="223">
        <v>32.454500000000003</v>
      </c>
      <c r="AN64" s="223">
        <v>32.822000000000003</v>
      </c>
      <c r="AO64" s="223">
        <v>33.151000000000003</v>
      </c>
      <c r="AP64" s="223">
        <v>31.326000000000001</v>
      </c>
      <c r="AQ64" s="223">
        <v>31.152999999999999</v>
      </c>
      <c r="AR64" s="223">
        <v>28.120999999999999</v>
      </c>
      <c r="AS64" s="223">
        <v>29.821000000000002</v>
      </c>
      <c r="AT64" s="223">
        <v>34.735999999999997</v>
      </c>
      <c r="AU64" s="223">
        <v>43.658000000000001</v>
      </c>
      <c r="AV64" s="223">
        <v>44.728000000000002</v>
      </c>
      <c r="BK64" s="223">
        <f t="shared" ref="BK64:BK70" si="109">V64</f>
        <v>15.111000000000001</v>
      </c>
      <c r="BL64" s="223">
        <f t="shared" ref="BL64:BL70" si="110">Z64</f>
        <v>14.109</v>
      </c>
      <c r="BM64" s="223">
        <f t="shared" ref="BM64:BM70" si="111">AD64</f>
        <v>13.420999999999999</v>
      </c>
      <c r="BN64" s="223">
        <f t="shared" ref="BN64:BN70" si="112">AH64</f>
        <v>26.678999999999998</v>
      </c>
      <c r="BO64" s="223">
        <f t="shared" ref="BO64:BO70" si="113">AL64</f>
        <v>27.155000000000001</v>
      </c>
      <c r="BP64" s="223">
        <f t="shared" ref="BP64:BP70" si="114">AP64</f>
        <v>31.326000000000001</v>
      </c>
      <c r="BQ64" s="223">
        <v>34.735999999999997</v>
      </c>
      <c r="BR64" s="225"/>
      <c r="BS64" s="257" t="s">
        <v>583</v>
      </c>
      <c r="BT64" s="149"/>
      <c r="BU64" s="149"/>
      <c r="BV64" s="253">
        <v>5.11E-2</v>
      </c>
      <c r="BW64" s="246"/>
      <c r="BX64" s="246"/>
      <c r="BY64" s="246"/>
      <c r="BZ64" s="231" t="s">
        <v>1528</v>
      </c>
      <c r="CA64" s="232">
        <f>CA62/CA63-1</f>
        <v>0.33509709095138951</v>
      </c>
      <c r="CB64" s="234" t="str">
        <f>IF(CA64&gt;0,"Upside","Downside")</f>
        <v>Upside</v>
      </c>
      <c r="CF64" s="209" t="s">
        <v>658</v>
      </c>
    </row>
    <row r="65" spans="2:119" ht="13.5" customHeight="1">
      <c r="B65" s="204" t="s">
        <v>310</v>
      </c>
      <c r="S65" s="223">
        <v>58.031999999999996</v>
      </c>
      <c r="T65" s="223">
        <v>57.276000000000003</v>
      </c>
      <c r="U65" s="223">
        <v>70.162999999999997</v>
      </c>
      <c r="V65" s="223">
        <v>67.63</v>
      </c>
      <c r="W65" s="223">
        <v>65.334999999999994</v>
      </c>
      <c r="X65" s="223">
        <v>57.718000000000004</v>
      </c>
      <c r="Y65" s="223">
        <v>87.691000000000003</v>
      </c>
      <c r="Z65" s="223">
        <v>85.795000000000002</v>
      </c>
      <c r="AA65" s="223">
        <v>90.213999999999999</v>
      </c>
      <c r="AB65" s="223">
        <v>86.503</v>
      </c>
      <c r="AC65" s="204">
        <v>93.22</v>
      </c>
      <c r="AD65" s="223">
        <v>99.796000000000006</v>
      </c>
      <c r="AE65" s="223">
        <v>105.533</v>
      </c>
      <c r="AF65" s="223">
        <v>111.405</v>
      </c>
      <c r="AG65" s="223">
        <v>101.672</v>
      </c>
      <c r="AH65" s="223">
        <v>106.3</v>
      </c>
      <c r="AI65" s="223">
        <v>105.869</v>
      </c>
      <c r="AJ65" s="223">
        <v>105.60599999999999</v>
      </c>
      <c r="AK65" s="223">
        <v>104.184</v>
      </c>
      <c r="AL65" s="223">
        <v>110.55500000000001</v>
      </c>
      <c r="AM65" s="223">
        <v>106.54900000000001</v>
      </c>
      <c r="AN65" s="223">
        <v>104.071</v>
      </c>
      <c r="AO65" s="223">
        <v>105.55</v>
      </c>
      <c r="AP65" s="223">
        <v>112.429</v>
      </c>
      <c r="AQ65" s="223">
        <v>112.675</v>
      </c>
      <c r="AR65" s="223">
        <v>114.389</v>
      </c>
      <c r="AS65" s="223">
        <v>124.273</v>
      </c>
      <c r="AT65" s="223">
        <v>132.16300000000001</v>
      </c>
      <c r="AU65" s="223">
        <v>151.54300000000001</v>
      </c>
      <c r="AV65" s="223">
        <v>172.27</v>
      </c>
      <c r="BK65" s="223">
        <f t="shared" si="109"/>
        <v>67.63</v>
      </c>
      <c r="BL65" s="223">
        <f t="shared" si="110"/>
        <v>85.795000000000002</v>
      </c>
      <c r="BM65" s="223">
        <f t="shared" si="111"/>
        <v>99.796000000000006</v>
      </c>
      <c r="BN65" s="223">
        <f t="shared" si="112"/>
        <v>106.3</v>
      </c>
      <c r="BO65" s="223">
        <f t="shared" si="113"/>
        <v>110.55500000000001</v>
      </c>
      <c r="BP65" s="223">
        <f t="shared" si="114"/>
        <v>112.429</v>
      </c>
      <c r="BQ65" s="223">
        <v>132.16300000000001</v>
      </c>
      <c r="BS65" s="257" t="s">
        <v>548</v>
      </c>
      <c r="BT65" s="149"/>
      <c r="BU65" s="149"/>
      <c r="BV65" s="227">
        <f>'Notes | Analysis'!T240</f>
        <v>0.76850681198020476</v>
      </c>
      <c r="BW65" s="149"/>
      <c r="BX65" s="149"/>
      <c r="BY65" s="149"/>
      <c r="BZ65" s="282" t="str" cm="1">
        <f t="array" ref="BZ65">_xlfn.IFS(CA64&gt;=25%,"Strong Buy",CA64&gt;=10.00001%,"Buy",AND(CA64&lt;=10%,CA64&gt;=-4.9999%),"Hold",AND(CA64&lt;=-5%,CA64&gt;=-14.999999%),"Sell",CA64&lt;=-15%,"Strong Sell")</f>
        <v>Strong Buy</v>
      </c>
      <c r="CA65" s="282"/>
      <c r="CB65" s="225"/>
      <c r="CE65" s="209" t="s">
        <v>1885</v>
      </c>
      <c r="CN65" s="208"/>
      <c r="CO65" s="208"/>
      <c r="CP65" s="210"/>
      <c r="CQ65" s="210"/>
      <c r="CR65" s="208"/>
      <c r="CS65" s="208"/>
    </row>
    <row r="66" spans="2:119" ht="13.5" customHeight="1">
      <c r="B66" s="204" t="s">
        <v>311</v>
      </c>
      <c r="S66" s="223">
        <v>3.6880000000000002</v>
      </c>
      <c r="T66" s="223">
        <v>3.742</v>
      </c>
      <c r="U66" s="223">
        <v>4.0419999999999998</v>
      </c>
      <c r="V66" s="223">
        <v>4.1420000000000003</v>
      </c>
      <c r="W66" s="223">
        <v>4.4349999999999996</v>
      </c>
      <c r="X66" s="223">
        <v>4.4459999999999997</v>
      </c>
      <c r="Y66" s="223">
        <v>4.484</v>
      </c>
      <c r="Z66" s="223">
        <v>4.6970000000000001</v>
      </c>
      <c r="AA66" s="223">
        <v>4.8220000000000001</v>
      </c>
      <c r="AB66" s="223">
        <v>6.3470000000000004</v>
      </c>
      <c r="AC66" s="204">
        <v>7.5309999999999997</v>
      </c>
      <c r="AD66" s="223">
        <v>8.2669999999999995</v>
      </c>
      <c r="AE66" s="223">
        <v>8.66</v>
      </c>
      <c r="AF66" s="223">
        <v>9.2970000000000006</v>
      </c>
      <c r="AG66" s="223">
        <v>9.4169999999999998</v>
      </c>
      <c r="AH66" s="223">
        <v>10.032999999999999</v>
      </c>
      <c r="AI66" s="223">
        <v>10.303000000000001</v>
      </c>
      <c r="AJ66" s="223">
        <v>10.715</v>
      </c>
      <c r="AK66" s="223">
        <v>10.827</v>
      </c>
      <c r="AL66" s="223">
        <v>11.202999999999999</v>
      </c>
      <c r="AM66" s="223">
        <v>11.52</v>
      </c>
      <c r="AN66" s="223">
        <v>11.776</v>
      </c>
      <c r="AO66" s="223">
        <v>12.068</v>
      </c>
      <c r="AP66" s="223">
        <v>12.221</v>
      </c>
      <c r="AQ66" s="223">
        <v>12.51</v>
      </c>
      <c r="AR66" s="223">
        <v>12.855</v>
      </c>
      <c r="AS66" s="223">
        <v>13.086</v>
      </c>
      <c r="AT66" s="223">
        <v>13.840999999999999</v>
      </c>
      <c r="AU66" s="223">
        <v>14.144</v>
      </c>
      <c r="AV66" s="223">
        <v>14.398</v>
      </c>
      <c r="BK66" s="223">
        <f t="shared" si="109"/>
        <v>4.1420000000000003</v>
      </c>
      <c r="BL66" s="223">
        <f t="shared" si="110"/>
        <v>4.6970000000000001</v>
      </c>
      <c r="BM66" s="223">
        <f t="shared" si="111"/>
        <v>8.2669999999999995</v>
      </c>
      <c r="BN66" s="223">
        <f t="shared" si="112"/>
        <v>10.032999999999999</v>
      </c>
      <c r="BO66" s="223">
        <f t="shared" si="113"/>
        <v>11.202999999999999</v>
      </c>
      <c r="BP66" s="223">
        <f t="shared" si="114"/>
        <v>12.221</v>
      </c>
      <c r="BQ66" s="223">
        <v>13.840999999999999</v>
      </c>
      <c r="BS66" s="252" t="s">
        <v>2374</v>
      </c>
      <c r="BT66" s="149"/>
      <c r="BU66" s="149"/>
      <c r="BV66" s="253">
        <v>0.18</v>
      </c>
      <c r="BW66" s="149"/>
      <c r="BX66" s="149"/>
      <c r="BY66" s="149"/>
      <c r="BZ66" s="149"/>
      <c r="CA66" s="149"/>
      <c r="CB66" s="149"/>
      <c r="CE66" s="209" t="s">
        <v>1886</v>
      </c>
    </row>
    <row r="67" spans="2:119" ht="13.5" customHeight="1">
      <c r="B67" s="204" t="s">
        <v>312</v>
      </c>
      <c r="S67" s="223">
        <v>0</v>
      </c>
      <c r="T67" s="223">
        <v>0</v>
      </c>
      <c r="U67" s="223">
        <v>0</v>
      </c>
      <c r="V67" s="223">
        <v>4.165</v>
      </c>
      <c r="W67" s="223">
        <v>2.4609999999999999</v>
      </c>
      <c r="X67" s="223">
        <v>1.016</v>
      </c>
      <c r="Y67" s="223">
        <v>1.3360000000000001</v>
      </c>
      <c r="Z67" s="223">
        <v>1.331</v>
      </c>
      <c r="AA67" s="223">
        <v>1.4370000000000001</v>
      </c>
      <c r="AB67" s="223">
        <v>1.484</v>
      </c>
      <c r="AC67" s="204">
        <v>1.627</v>
      </c>
      <c r="AD67" s="223">
        <v>1.7130000000000001</v>
      </c>
      <c r="AE67" s="223">
        <v>1.7689999999999999</v>
      </c>
      <c r="AF67" s="223">
        <v>1.806</v>
      </c>
      <c r="AG67" s="223">
        <v>1.8779999999999999</v>
      </c>
      <c r="AH67" s="223">
        <v>1.92</v>
      </c>
      <c r="AI67" s="223">
        <v>1.9570000000000001</v>
      </c>
      <c r="AJ67" s="223">
        <v>1.984</v>
      </c>
      <c r="AK67" s="223">
        <v>2.0710000000000002</v>
      </c>
      <c r="AL67" s="223">
        <v>2.2309999999999999</v>
      </c>
      <c r="AM67" s="223">
        <v>2.2799999999999998</v>
      </c>
      <c r="AN67" s="223">
        <v>2.3250000000000002</v>
      </c>
      <c r="AO67" s="223">
        <v>2.4159999999999999</v>
      </c>
      <c r="AP67" s="223">
        <v>2.3690000000000002</v>
      </c>
      <c r="AQ67" s="223">
        <v>2.2919999999999998</v>
      </c>
      <c r="AR67" s="223">
        <v>2.3959999999999999</v>
      </c>
      <c r="AS67" s="223">
        <v>2.423</v>
      </c>
      <c r="AT67" s="223">
        <v>2.3929999999999998</v>
      </c>
      <c r="AU67" s="223">
        <v>2.3860000000000001</v>
      </c>
      <c r="AV67" s="223">
        <v>2.38</v>
      </c>
      <c r="BK67" s="223">
        <f t="shared" si="109"/>
        <v>4.165</v>
      </c>
      <c r="BL67" s="223">
        <f t="shared" si="110"/>
        <v>1.331</v>
      </c>
      <c r="BM67" s="223">
        <f t="shared" si="111"/>
        <v>1.7130000000000001</v>
      </c>
      <c r="BN67" s="223">
        <f t="shared" si="112"/>
        <v>1.92</v>
      </c>
      <c r="BO67" s="223">
        <f t="shared" si="113"/>
        <v>2.2309999999999999</v>
      </c>
      <c r="BP67" s="223">
        <f t="shared" si="114"/>
        <v>2.3690000000000002</v>
      </c>
      <c r="BQ67" s="223">
        <v>2.3929999999999998</v>
      </c>
      <c r="BS67" s="254" t="s">
        <v>2375</v>
      </c>
      <c r="BT67" s="246"/>
      <c r="BU67" s="1"/>
      <c r="BV67" s="256">
        <f>(BV64+BV65)*(BV66-BV64)</f>
        <v>0.10564731806424839</v>
      </c>
      <c r="BW67" s="149"/>
      <c r="BX67" s="149"/>
      <c r="BY67" s="149"/>
      <c r="BZ67" s="149"/>
      <c r="CA67" s="149"/>
      <c r="CB67" s="149"/>
      <c r="CF67" s="209" t="s">
        <v>552</v>
      </c>
    </row>
    <row r="68" spans="2:119" ht="13.5" customHeight="1">
      <c r="B68" s="204" t="s">
        <v>313</v>
      </c>
      <c r="S68" s="223">
        <v>46.07</v>
      </c>
      <c r="T68" s="223">
        <v>46.146000000000001</v>
      </c>
      <c r="U68" s="223">
        <v>45.4</v>
      </c>
      <c r="V68" s="223">
        <v>47.241999999999997</v>
      </c>
      <c r="W68" s="223">
        <v>46.415999999999997</v>
      </c>
      <c r="X68" s="223">
        <v>45.924999999999997</v>
      </c>
      <c r="Y68" s="223">
        <v>44.997999999999998</v>
      </c>
      <c r="Z68" s="223">
        <v>44.183</v>
      </c>
      <c r="AA68" s="223">
        <v>43.524999999999999</v>
      </c>
      <c r="AB68" s="223">
        <v>94.444000000000003</v>
      </c>
      <c r="AC68" s="204">
        <v>138.16900000000001</v>
      </c>
      <c r="AD68" s="223">
        <v>137.04499999999999</v>
      </c>
      <c r="AE68" s="223">
        <v>182.43799999999999</v>
      </c>
      <c r="AF68" s="223">
        <v>183.155</v>
      </c>
      <c r="AG68" s="223">
        <v>180.89699999999999</v>
      </c>
      <c r="AH68" s="223">
        <v>198.95500000000001</v>
      </c>
      <c r="AI68" s="223">
        <v>196.83699999999999</v>
      </c>
      <c r="AJ68" s="223">
        <v>194.655</v>
      </c>
      <c r="AK68" s="223">
        <v>192.11699999999999</v>
      </c>
      <c r="AL68" s="223">
        <v>197.22900000000001</v>
      </c>
      <c r="AM68" s="223">
        <v>194.53700000000001</v>
      </c>
      <c r="AN68" s="223">
        <v>192.21600000000001</v>
      </c>
      <c r="AO68" s="223">
        <v>189.96</v>
      </c>
      <c r="AP68" s="223">
        <v>187.06800000000001</v>
      </c>
      <c r="AQ68" s="223">
        <v>184.65199999999999</v>
      </c>
      <c r="AR68" s="223">
        <v>183.49299999999999</v>
      </c>
      <c r="AS68" s="223">
        <v>180.3</v>
      </c>
      <c r="AT68" s="223">
        <v>182.751</v>
      </c>
      <c r="AU68" s="223">
        <v>179.42400000000001</v>
      </c>
      <c r="AV68" s="223">
        <v>176.304</v>
      </c>
      <c r="BK68" s="223">
        <f t="shared" si="109"/>
        <v>47.241999999999997</v>
      </c>
      <c r="BL68" s="223">
        <f t="shared" si="110"/>
        <v>44.183</v>
      </c>
      <c r="BM68" s="223">
        <f t="shared" si="111"/>
        <v>137.04499999999999</v>
      </c>
      <c r="BN68" s="223">
        <f t="shared" si="112"/>
        <v>198.95500000000001</v>
      </c>
      <c r="BO68" s="223">
        <f t="shared" si="113"/>
        <v>197.22900000000001</v>
      </c>
      <c r="BP68" s="223">
        <f t="shared" si="114"/>
        <v>187.06800000000001</v>
      </c>
      <c r="BQ68" s="223">
        <v>182.751</v>
      </c>
      <c r="BS68" s="258"/>
      <c r="BT68" s="149"/>
      <c r="BU68" s="149"/>
      <c r="BV68" s="149"/>
      <c r="BW68" s="149"/>
      <c r="BX68" s="149"/>
      <c r="BY68" s="149"/>
      <c r="BZ68" s="149"/>
      <c r="CA68" s="149"/>
      <c r="CB68" s="149"/>
      <c r="CF68" s="209" t="s">
        <v>553</v>
      </c>
    </row>
    <row r="69" spans="2:119" ht="13.5" customHeight="1">
      <c r="B69" s="204" t="s">
        <v>314</v>
      </c>
      <c r="S69" s="223">
        <v>0</v>
      </c>
      <c r="T69" s="223">
        <v>0</v>
      </c>
      <c r="U69" s="204">
        <v>0</v>
      </c>
      <c r="V69" s="204">
        <v>26.748000000000001</v>
      </c>
      <c r="W69" s="223">
        <v>26.483000000000001</v>
      </c>
      <c r="X69" s="223">
        <v>26.202000000000002</v>
      </c>
      <c r="Y69" s="223">
        <v>27.390999999999998</v>
      </c>
      <c r="Z69" s="223">
        <v>27.065999999999999</v>
      </c>
      <c r="AA69" s="223">
        <v>27</v>
      </c>
      <c r="AB69" s="223">
        <v>26.690999999999999</v>
      </c>
      <c r="AC69" s="204">
        <v>26.774999999999999</v>
      </c>
      <c r="AD69" s="223">
        <v>26.523</v>
      </c>
      <c r="AE69" s="223">
        <v>26.122</v>
      </c>
      <c r="AF69" s="223">
        <v>25.654</v>
      </c>
      <c r="AG69" s="223">
        <v>25.324999999999999</v>
      </c>
      <c r="AH69" s="223">
        <v>24.864999999999998</v>
      </c>
      <c r="AI69" s="223">
        <v>24.422999999999998</v>
      </c>
      <c r="AJ69" s="223">
        <v>23.922000000000001</v>
      </c>
      <c r="AK69" s="223">
        <v>23.779</v>
      </c>
      <c r="AL69" s="223">
        <v>23.68</v>
      </c>
      <c r="AM69" s="223">
        <v>23.097999999999999</v>
      </c>
      <c r="AN69" s="223">
        <v>22.501000000000001</v>
      </c>
      <c r="AO69" s="223">
        <v>22.245000000000001</v>
      </c>
      <c r="AP69" s="223">
        <v>21.731000000000002</v>
      </c>
      <c r="AQ69" s="223">
        <v>21.201000000000001</v>
      </c>
      <c r="AR69" s="223">
        <v>21.785</v>
      </c>
      <c r="AS69" s="223">
        <v>21.222999999999999</v>
      </c>
      <c r="AT69" s="223">
        <v>20.713999999999999</v>
      </c>
      <c r="AU69" s="223">
        <v>20.221</v>
      </c>
      <c r="AV69" s="223">
        <v>19.628</v>
      </c>
      <c r="BK69" s="223">
        <f t="shared" si="109"/>
        <v>26.748000000000001</v>
      </c>
      <c r="BL69" s="223">
        <f t="shared" si="110"/>
        <v>27.065999999999999</v>
      </c>
      <c r="BM69" s="223">
        <f t="shared" si="111"/>
        <v>26.523</v>
      </c>
      <c r="BN69" s="223">
        <f t="shared" si="112"/>
        <v>24.864999999999998</v>
      </c>
      <c r="BO69" s="223">
        <f t="shared" si="113"/>
        <v>23.68</v>
      </c>
      <c r="BP69" s="223">
        <f t="shared" si="114"/>
        <v>21.731000000000002</v>
      </c>
      <c r="BQ69" s="223">
        <v>20.713999999999999</v>
      </c>
      <c r="BS69" s="255" t="s">
        <v>2376</v>
      </c>
      <c r="BT69" s="259"/>
      <c r="BU69" s="149"/>
      <c r="BV69" s="260"/>
      <c r="BW69" s="149"/>
      <c r="BX69" s="149"/>
      <c r="BY69" s="149"/>
      <c r="BZ69" s="149"/>
      <c r="CA69" s="149"/>
      <c r="CB69" s="149"/>
      <c r="CE69" s="209" t="s">
        <v>1567</v>
      </c>
    </row>
    <row r="70" spans="2:119" ht="13.5" customHeight="1">
      <c r="B70" s="204" t="s">
        <v>315</v>
      </c>
      <c r="S70" s="223">
        <v>16.643999999999998</v>
      </c>
      <c r="T70" s="223">
        <v>15.019</v>
      </c>
      <c r="U70" s="223">
        <v>15.662000000000001</v>
      </c>
      <c r="V70" s="223">
        <v>15.25</v>
      </c>
      <c r="W70" s="223">
        <v>15.15</v>
      </c>
      <c r="X70" s="223">
        <v>7.3</v>
      </c>
      <c r="Y70" s="223">
        <v>10.147</v>
      </c>
      <c r="Z70" s="223">
        <v>8.0139999999999993</v>
      </c>
      <c r="AA70" s="223">
        <v>7.9660000000000002</v>
      </c>
      <c r="AB70" s="223">
        <v>7.6609999999999996</v>
      </c>
      <c r="AC70" s="204">
        <v>7.6349999999999998</v>
      </c>
      <c r="AD70" s="223">
        <v>3.5579999999999998</v>
      </c>
      <c r="AE70" s="223">
        <v>3.6120000000000001</v>
      </c>
      <c r="AF70" s="223">
        <v>3.472</v>
      </c>
      <c r="AG70" s="223">
        <v>3.2949999999999999</v>
      </c>
      <c r="AH70" s="223">
        <v>3.2759999999999998</v>
      </c>
      <c r="AI70" s="223">
        <v>3.2410000000000001</v>
      </c>
      <c r="AJ70" s="223">
        <v>3.2879999999999998</v>
      </c>
      <c r="AK70" s="223">
        <v>3.2650000000000001</v>
      </c>
      <c r="AL70" s="223">
        <v>5.3079999999999998</v>
      </c>
      <c r="AM70" s="223">
        <v>5.8760000000000003</v>
      </c>
      <c r="AN70" s="223">
        <v>7.6189999999999998</v>
      </c>
      <c r="AO70" s="223">
        <v>9.4529999999999994</v>
      </c>
      <c r="AP70" s="223">
        <v>15.103</v>
      </c>
      <c r="AQ70" s="223">
        <v>15.942</v>
      </c>
      <c r="AR70" s="223">
        <v>17.818999999999999</v>
      </c>
      <c r="AS70" s="223">
        <v>14.53</v>
      </c>
      <c r="AT70" s="223">
        <v>12.318</v>
      </c>
      <c r="AU70" s="223">
        <v>13.25</v>
      </c>
      <c r="AV70" s="223">
        <v>14.249000000000001</v>
      </c>
      <c r="BK70" s="223">
        <f t="shared" si="109"/>
        <v>15.25</v>
      </c>
      <c r="BL70" s="223">
        <f t="shared" si="110"/>
        <v>8.0139999999999993</v>
      </c>
      <c r="BM70" s="223">
        <f t="shared" si="111"/>
        <v>3.5579999999999998</v>
      </c>
      <c r="BN70" s="223">
        <f t="shared" si="112"/>
        <v>3.2759999999999998</v>
      </c>
      <c r="BO70" s="223">
        <f t="shared" si="113"/>
        <v>5.3079999999999998</v>
      </c>
      <c r="BP70" s="223">
        <f t="shared" si="114"/>
        <v>15.103</v>
      </c>
      <c r="BQ70" s="223">
        <v>12.318</v>
      </c>
      <c r="BS70" s="261" t="s">
        <v>2376</v>
      </c>
      <c r="BT70" s="149"/>
      <c r="BU70" s="149"/>
      <c r="BV70" s="262">
        <v>0</v>
      </c>
      <c r="BW70" s="149"/>
      <c r="BX70" s="263"/>
      <c r="BY70" s="149"/>
      <c r="BZ70" s="247"/>
      <c r="CA70" s="149"/>
      <c r="CB70" s="149"/>
      <c r="CD70" s="208" t="s">
        <v>569</v>
      </c>
    </row>
    <row r="71" spans="2:119" s="210" customFormat="1" ht="13.5" customHeight="1">
      <c r="B71" s="210" t="s">
        <v>2075</v>
      </c>
      <c r="C71" s="213"/>
      <c r="D71" s="213"/>
      <c r="E71" s="213"/>
      <c r="F71" s="213"/>
      <c r="G71" s="213"/>
      <c r="H71" s="213"/>
      <c r="I71" s="213"/>
      <c r="J71" s="213"/>
      <c r="K71" s="213"/>
      <c r="L71" s="213"/>
      <c r="M71" s="213"/>
      <c r="N71" s="213"/>
      <c r="O71" s="213"/>
      <c r="P71" s="213"/>
      <c r="Q71" s="213"/>
      <c r="R71" s="213"/>
      <c r="S71" s="206">
        <f>SUM(S64:S70)</f>
        <v>132.126</v>
      </c>
      <c r="T71" s="206">
        <f t="shared" ref="T71:AS71" si="115">SUM(T64:T70)</f>
        <v>130.92600000000002</v>
      </c>
      <c r="U71" s="206">
        <f t="shared" si="115"/>
        <v>147.22900000000001</v>
      </c>
      <c r="V71" s="206">
        <f t="shared" si="115"/>
        <v>180.28799999999998</v>
      </c>
      <c r="W71" s="206">
        <f t="shared" si="115"/>
        <v>176.12300000000002</v>
      </c>
      <c r="X71" s="206">
        <f t="shared" si="115"/>
        <v>157.03900000000002</v>
      </c>
      <c r="Y71" s="206">
        <f t="shared" si="115"/>
        <v>190.59099999999998</v>
      </c>
      <c r="Z71" s="206">
        <f t="shared" si="115"/>
        <v>185.19500000000002</v>
      </c>
      <c r="AA71" s="206">
        <f t="shared" si="115"/>
        <v>190.35300000000001</v>
      </c>
      <c r="AB71" s="206">
        <f t="shared" si="115"/>
        <v>236.84200000000001</v>
      </c>
      <c r="AC71" s="206">
        <f t="shared" si="115"/>
        <v>288.63599999999997</v>
      </c>
      <c r="AD71" s="206">
        <f t="shared" si="115"/>
        <v>290.32299999999998</v>
      </c>
      <c r="AE71" s="206">
        <f t="shared" si="115"/>
        <v>342.27100000000007</v>
      </c>
      <c r="AF71" s="206">
        <f t="shared" si="115"/>
        <v>357.88499999999999</v>
      </c>
      <c r="AG71" s="206">
        <f t="shared" si="115"/>
        <v>347.84899999999993</v>
      </c>
      <c r="AH71" s="206">
        <f t="shared" si="115"/>
        <v>372.02799999999996</v>
      </c>
      <c r="AI71" s="206">
        <f t="shared" si="115"/>
        <v>370.82899999999995</v>
      </c>
      <c r="AJ71" s="206">
        <f t="shared" si="115"/>
        <v>365.98900000000003</v>
      </c>
      <c r="AK71" s="206">
        <f t="shared" si="115"/>
        <v>364.23899999999998</v>
      </c>
      <c r="AL71" s="206">
        <f t="shared" si="115"/>
        <v>377.36100000000005</v>
      </c>
      <c r="AM71" s="206">
        <f t="shared" si="115"/>
        <v>376.31450000000001</v>
      </c>
      <c r="AN71" s="206">
        <f t="shared" si="115"/>
        <v>373.33000000000004</v>
      </c>
      <c r="AO71" s="206">
        <f t="shared" si="115"/>
        <v>374.84299999999996</v>
      </c>
      <c r="AP71" s="206">
        <f t="shared" si="115"/>
        <v>382.24700000000001</v>
      </c>
      <c r="AQ71" s="206">
        <f t="shared" si="115"/>
        <v>380.42500000000001</v>
      </c>
      <c r="AR71" s="206">
        <f t="shared" si="115"/>
        <v>380.858</v>
      </c>
      <c r="AS71" s="206">
        <f t="shared" si="115"/>
        <v>385.65600000000001</v>
      </c>
      <c r="AT71" s="206">
        <f t="shared" ref="AT71:AU71" si="116">SUM(AT64:AT70)</f>
        <v>398.916</v>
      </c>
      <c r="AU71" s="206">
        <f t="shared" si="116"/>
        <v>424.62600000000003</v>
      </c>
      <c r="AV71" s="206">
        <f t="shared" ref="AV71" si="117">SUM(AV64:AV70)</f>
        <v>443.95700000000005</v>
      </c>
      <c r="AW71" s="208"/>
      <c r="AX71" s="208"/>
      <c r="AY71" s="208"/>
      <c r="AZ71" s="208"/>
      <c r="BA71" s="208"/>
      <c r="BB71" s="208"/>
      <c r="BK71" s="206">
        <f t="shared" ref="BK71:BO71" si="118">SUM(BK64:BK70)</f>
        <v>180.28799999999998</v>
      </c>
      <c r="BL71" s="206">
        <f t="shared" si="118"/>
        <v>185.19500000000002</v>
      </c>
      <c r="BM71" s="206">
        <f t="shared" si="118"/>
        <v>290.32299999999998</v>
      </c>
      <c r="BN71" s="206">
        <f t="shared" si="118"/>
        <v>372.02799999999996</v>
      </c>
      <c r="BO71" s="206">
        <f t="shared" si="118"/>
        <v>377.36100000000005</v>
      </c>
      <c r="BP71" s="206">
        <f>SUM(BP64:BP70)</f>
        <v>382.24700000000001</v>
      </c>
      <c r="BQ71" s="206">
        <f t="shared" ref="BQ71" si="119">SUM(BQ64:BQ70)</f>
        <v>398.916</v>
      </c>
      <c r="BR71" s="208"/>
      <c r="BS71" s="252" t="s">
        <v>2377</v>
      </c>
      <c r="BT71" s="149"/>
      <c r="BU71" s="149"/>
      <c r="BV71" s="253">
        <v>0.2</v>
      </c>
      <c r="BW71" s="149"/>
      <c r="BX71" s="263"/>
      <c r="BY71" s="253"/>
      <c r="BZ71" s="247"/>
      <c r="CA71" s="1"/>
      <c r="CB71" s="1"/>
      <c r="CC71" s="208"/>
      <c r="CD71" s="209"/>
      <c r="CE71" s="209" t="s">
        <v>1887</v>
      </c>
      <c r="CF71" s="209"/>
      <c r="CG71" s="209"/>
      <c r="CH71" s="209"/>
      <c r="CI71" s="209"/>
      <c r="CJ71" s="209"/>
      <c r="CK71" s="209"/>
      <c r="CL71" s="209"/>
      <c r="CM71" s="209"/>
      <c r="CN71" s="209"/>
      <c r="CO71" s="209"/>
      <c r="CP71" s="209"/>
      <c r="CQ71" s="209"/>
      <c r="CR71" s="209"/>
      <c r="CS71" s="209"/>
      <c r="CT71" s="208"/>
      <c r="CU71" s="208"/>
      <c r="CV71" s="208"/>
      <c r="CW71" s="208"/>
      <c r="CX71" s="208"/>
      <c r="CY71" s="208"/>
      <c r="CZ71" s="208"/>
      <c r="DA71" s="208"/>
      <c r="DB71" s="208"/>
      <c r="DC71" s="208"/>
      <c r="DD71" s="208"/>
      <c r="DE71" s="208"/>
      <c r="DF71" s="208"/>
      <c r="DG71" s="208"/>
      <c r="DH71" s="208"/>
      <c r="DI71" s="208"/>
      <c r="DJ71" s="208"/>
      <c r="DK71" s="208"/>
      <c r="DL71" s="208"/>
      <c r="DM71" s="208"/>
      <c r="DN71" s="208"/>
      <c r="DO71" s="208"/>
    </row>
    <row r="72" spans="2:119" ht="13.5" customHeight="1">
      <c r="B72" s="204" t="s">
        <v>316</v>
      </c>
      <c r="S72" s="223">
        <v>436.66300000000001</v>
      </c>
      <c r="T72" s="223">
        <v>454.18299999999999</v>
      </c>
      <c r="U72" s="223">
        <v>466.94099999999997</v>
      </c>
      <c r="V72" s="223">
        <v>485.613</v>
      </c>
      <c r="W72" s="223">
        <v>488.11700000000002</v>
      </c>
      <c r="X72" s="223">
        <v>623.16099999999994</v>
      </c>
      <c r="Y72" s="223">
        <v>619.71199999999999</v>
      </c>
      <c r="Z72" s="223">
        <v>637.78800000000001</v>
      </c>
      <c r="AA72" s="223">
        <v>650.471</v>
      </c>
      <c r="AB72" s="223">
        <v>673.37599999999998</v>
      </c>
      <c r="AC72" s="204">
        <v>684.60299999999995</v>
      </c>
      <c r="AD72" s="223">
        <v>953.92700000000002</v>
      </c>
      <c r="AE72" s="223">
        <v>959.30200000000002</v>
      </c>
      <c r="AF72" s="223">
        <v>970.01499999999999</v>
      </c>
      <c r="AG72" s="223">
        <v>973.75199999999995</v>
      </c>
      <c r="AH72" s="223">
        <v>998.85799999999995</v>
      </c>
      <c r="AI72" s="223">
        <v>1024.4690000000001</v>
      </c>
      <c r="AJ72" s="223">
        <v>1066.5429999999999</v>
      </c>
      <c r="AK72" s="223">
        <v>1104.1379999999999</v>
      </c>
      <c r="AL72" s="223">
        <v>1178.94</v>
      </c>
      <c r="AM72" s="223">
        <v>1203.5309999999999</v>
      </c>
      <c r="AN72" s="223">
        <v>1161.231</v>
      </c>
      <c r="AO72" s="223">
        <v>1104.28</v>
      </c>
      <c r="AP72" s="223">
        <v>1150.931</v>
      </c>
      <c r="AQ72" s="223">
        <v>1212.8820000000001</v>
      </c>
      <c r="AR72" s="223">
        <v>1293.95</v>
      </c>
      <c r="AS72" s="204">
        <v>1358.6959999999999</v>
      </c>
      <c r="AT72" s="223">
        <v>1427.6030000000001</v>
      </c>
      <c r="AU72" s="223">
        <v>1473.8119999999999</v>
      </c>
      <c r="AV72" s="223">
        <v>1530.7660000000001</v>
      </c>
      <c r="BK72" s="223">
        <f>V72</f>
        <v>485.613</v>
      </c>
      <c r="BL72" s="223">
        <f>Z72</f>
        <v>637.78800000000001</v>
      </c>
      <c r="BM72" s="223">
        <f>AD72</f>
        <v>953.92700000000002</v>
      </c>
      <c r="BN72" s="223">
        <f>AH72</f>
        <v>998.85799999999995</v>
      </c>
      <c r="BO72" s="223">
        <f>AL72</f>
        <v>1178.94</v>
      </c>
      <c r="BP72" s="223">
        <f>AP72</f>
        <v>1150.931</v>
      </c>
      <c r="BQ72" s="223">
        <v>1427.6030000000001</v>
      </c>
      <c r="BS72" s="264" t="s">
        <v>2378</v>
      </c>
      <c r="BT72" s="149"/>
      <c r="BU72" s="149"/>
      <c r="BV72" s="256">
        <f>BV70*(1-BV71)</f>
        <v>0</v>
      </c>
      <c r="BW72" s="149"/>
      <c r="BX72" s="149"/>
      <c r="BY72" s="149"/>
      <c r="BZ72" s="247"/>
      <c r="CA72" s="149"/>
      <c r="CB72" s="149"/>
      <c r="CE72" s="209" t="s">
        <v>1510</v>
      </c>
    </row>
    <row r="73" spans="2:119" s="210" customFormat="1" ht="13.5" customHeight="1">
      <c r="B73" s="210" t="s">
        <v>317</v>
      </c>
      <c r="C73" s="213"/>
      <c r="D73" s="213"/>
      <c r="E73" s="213"/>
      <c r="F73" s="213"/>
      <c r="G73" s="213"/>
      <c r="H73" s="213"/>
      <c r="I73" s="213"/>
      <c r="J73" s="213"/>
      <c r="K73" s="213"/>
      <c r="L73" s="213"/>
      <c r="M73" s="213"/>
      <c r="N73" s="213"/>
      <c r="O73" s="213"/>
      <c r="P73" s="213"/>
      <c r="Q73" s="213"/>
      <c r="R73" s="213"/>
      <c r="S73" s="206">
        <f>SUM(S71:S72)</f>
        <v>568.78899999999999</v>
      </c>
      <c r="T73" s="206">
        <f t="shared" ref="T73:AS73" si="120">SUM(T71:T72)</f>
        <v>585.10900000000004</v>
      </c>
      <c r="U73" s="206">
        <f t="shared" si="120"/>
        <v>614.16999999999996</v>
      </c>
      <c r="V73" s="206">
        <f t="shared" si="120"/>
        <v>665.90099999999995</v>
      </c>
      <c r="W73" s="206">
        <f t="shared" si="120"/>
        <v>664.24</v>
      </c>
      <c r="X73" s="206">
        <f t="shared" si="120"/>
        <v>780.19999999999993</v>
      </c>
      <c r="Y73" s="206">
        <f t="shared" si="120"/>
        <v>810.303</v>
      </c>
      <c r="Z73" s="206">
        <f t="shared" si="120"/>
        <v>822.98300000000006</v>
      </c>
      <c r="AA73" s="206">
        <f t="shared" si="120"/>
        <v>840.82400000000007</v>
      </c>
      <c r="AB73" s="206">
        <f t="shared" si="120"/>
        <v>910.21799999999996</v>
      </c>
      <c r="AC73" s="206">
        <f t="shared" si="120"/>
        <v>973.23899999999992</v>
      </c>
      <c r="AD73" s="206">
        <f t="shared" si="120"/>
        <v>1244.25</v>
      </c>
      <c r="AE73" s="206">
        <f t="shared" si="120"/>
        <v>1301.5730000000001</v>
      </c>
      <c r="AF73" s="206">
        <f t="shared" si="120"/>
        <v>1327.9</v>
      </c>
      <c r="AG73" s="206">
        <f t="shared" si="120"/>
        <v>1321.6009999999999</v>
      </c>
      <c r="AH73" s="206">
        <f t="shared" si="120"/>
        <v>1370.886</v>
      </c>
      <c r="AI73" s="206">
        <f t="shared" si="120"/>
        <v>1395.298</v>
      </c>
      <c r="AJ73" s="206">
        <f t="shared" si="120"/>
        <v>1432.5319999999999</v>
      </c>
      <c r="AK73" s="206">
        <f t="shared" si="120"/>
        <v>1468.377</v>
      </c>
      <c r="AL73" s="206">
        <f t="shared" si="120"/>
        <v>1556.3010000000002</v>
      </c>
      <c r="AM73" s="206">
        <f t="shared" si="120"/>
        <v>1579.8454999999999</v>
      </c>
      <c r="AN73" s="206">
        <f t="shared" si="120"/>
        <v>1534.5610000000001</v>
      </c>
      <c r="AO73" s="206">
        <f t="shared" si="120"/>
        <v>1479.123</v>
      </c>
      <c r="AP73" s="206">
        <f t="shared" si="120"/>
        <v>1533.1780000000001</v>
      </c>
      <c r="AQ73" s="206">
        <f t="shared" si="120"/>
        <v>1593.307</v>
      </c>
      <c r="AR73" s="206">
        <f t="shared" si="120"/>
        <v>1674.808</v>
      </c>
      <c r="AS73" s="206">
        <f t="shared" si="120"/>
        <v>1744.3519999999999</v>
      </c>
      <c r="AT73" s="206">
        <f t="shared" ref="AT73:AU73" si="121">SUM(AT71:AT72)</f>
        <v>1826.519</v>
      </c>
      <c r="AU73" s="206">
        <f t="shared" si="121"/>
        <v>1898.4379999999999</v>
      </c>
      <c r="AV73" s="206">
        <f t="shared" ref="AV73" si="122">SUM(AV71:AV72)</f>
        <v>1974.7230000000002</v>
      </c>
      <c r="AW73" s="208"/>
      <c r="AX73" s="208"/>
      <c r="AY73" s="208"/>
      <c r="AZ73" s="208"/>
      <c r="BA73" s="208"/>
      <c r="BB73" s="208"/>
      <c r="BK73" s="206">
        <f t="shared" ref="BK73:BO73" si="123">SUM(BK71:BK72)</f>
        <v>665.90099999999995</v>
      </c>
      <c r="BL73" s="206">
        <f t="shared" si="123"/>
        <v>822.98300000000006</v>
      </c>
      <c r="BM73" s="206">
        <f t="shared" si="123"/>
        <v>1244.25</v>
      </c>
      <c r="BN73" s="206">
        <f t="shared" si="123"/>
        <v>1370.886</v>
      </c>
      <c r="BO73" s="206">
        <f t="shared" si="123"/>
        <v>1556.3010000000002</v>
      </c>
      <c r="BP73" s="206">
        <f>SUM(BP71:BP72)</f>
        <v>1533.1780000000001</v>
      </c>
      <c r="BQ73" s="206">
        <f t="shared" ref="BQ73" si="124">SUM(BQ71:BQ72)</f>
        <v>1826.519</v>
      </c>
      <c r="BR73" s="209"/>
      <c r="BS73" s="209"/>
      <c r="BT73" s="209"/>
      <c r="BU73" s="209"/>
      <c r="BV73" s="209"/>
      <c r="BW73" s="209"/>
      <c r="BX73" s="209"/>
      <c r="BY73" s="209"/>
      <c r="BZ73" s="209"/>
      <c r="CA73" s="209"/>
      <c r="CC73" s="209"/>
      <c r="CD73" s="225"/>
      <c r="CE73" s="209"/>
      <c r="CF73" s="209"/>
      <c r="CG73" s="209" t="s">
        <v>554</v>
      </c>
      <c r="CH73" s="209"/>
      <c r="CI73" s="209"/>
      <c r="CJ73" s="209"/>
      <c r="CK73" s="209"/>
      <c r="CL73" s="209"/>
      <c r="CN73" s="209"/>
      <c r="CO73" s="209"/>
      <c r="CP73" s="209"/>
      <c r="CQ73" s="209"/>
      <c r="CR73" s="209"/>
      <c r="CS73" s="209"/>
      <c r="CT73" s="208"/>
      <c r="CU73" s="208"/>
      <c r="CV73" s="208"/>
      <c r="CW73" s="208"/>
      <c r="CX73" s="208"/>
      <c r="CY73" s="208"/>
      <c r="CZ73" s="208"/>
      <c r="DA73" s="208"/>
      <c r="DB73" s="208"/>
      <c r="DC73" s="208"/>
      <c r="DD73" s="208"/>
      <c r="DE73" s="208"/>
      <c r="DF73" s="208"/>
      <c r="DG73" s="208"/>
      <c r="DH73" s="208"/>
      <c r="DI73" s="208"/>
      <c r="DJ73" s="208"/>
      <c r="DK73" s="208"/>
      <c r="DL73" s="208"/>
      <c r="DM73" s="208"/>
      <c r="DN73" s="208"/>
      <c r="DO73" s="208"/>
    </row>
    <row r="74" spans="2:119" ht="13.5" customHeight="1">
      <c r="AQ74" s="204"/>
      <c r="AR74" s="204"/>
      <c r="AS74" s="210"/>
      <c r="AT74" s="204"/>
      <c r="BL74" s="223"/>
      <c r="BM74" s="223"/>
      <c r="BN74" s="223"/>
      <c r="BO74" s="223"/>
      <c r="BP74" s="223"/>
      <c r="BQ74" s="223"/>
      <c r="BS74" s="255" t="s">
        <v>2379</v>
      </c>
      <c r="BT74" s="149"/>
      <c r="BU74" s="149"/>
      <c r="BV74" s="256">
        <f>(BV60*BV67)+(BV59*BV72*(1-BV71))</f>
        <v>0.10564731806424839</v>
      </c>
      <c r="CG74" s="209" t="s">
        <v>556</v>
      </c>
    </row>
    <row r="75" spans="2:119" ht="13.5" customHeight="1">
      <c r="B75" s="204" t="s">
        <v>497</v>
      </c>
      <c r="S75" s="226">
        <f t="shared" ref="S75:AO75" si="125">SUM(S50:S54)/SUM(S64:S67)</f>
        <v>6.0952861176741786</v>
      </c>
      <c r="T75" s="226">
        <f t="shared" si="125"/>
        <v>6.2298992273619929</v>
      </c>
      <c r="U75" s="226">
        <f t="shared" si="125"/>
        <v>5.2378984994255351</v>
      </c>
      <c r="V75" s="226">
        <f t="shared" si="125"/>
        <v>5.0867015200773222</v>
      </c>
      <c r="W75" s="226">
        <f t="shared" si="125"/>
        <v>5.1518041646797013</v>
      </c>
      <c r="X75" s="226">
        <f t="shared" si="125"/>
        <v>7.4201798690924061</v>
      </c>
      <c r="Y75" s="226">
        <f t="shared" si="125"/>
        <v>5.4620239692749077</v>
      </c>
      <c r="Z75" s="226">
        <f t="shared" si="125"/>
        <v>5.8311180757467049</v>
      </c>
      <c r="AA75" s="226">
        <f t="shared" si="125"/>
        <v>5.6777726126834862</v>
      </c>
      <c r="AB75" s="226">
        <f t="shared" si="125"/>
        <v>6.0447587138811247</v>
      </c>
      <c r="AC75" s="226">
        <f t="shared" si="125"/>
        <v>5.7556803984249116</v>
      </c>
      <c r="AD75" s="226">
        <f t="shared" si="125"/>
        <v>5.5315795027476309</v>
      </c>
      <c r="AE75" s="226">
        <f t="shared" si="125"/>
        <v>5.3061591557198744</v>
      </c>
      <c r="AF75" s="226">
        <f t="shared" si="125"/>
        <v>4.9309153594681465</v>
      </c>
      <c r="AG75" s="226">
        <f t="shared" si="125"/>
        <v>5.2310745163808825</v>
      </c>
      <c r="AH75" s="226">
        <f t="shared" si="125"/>
        <v>5.214162503794884</v>
      </c>
      <c r="AI75" s="226">
        <f t="shared" si="125"/>
        <v>5.3748428188726685</v>
      </c>
      <c r="AJ75" s="226">
        <f t="shared" si="125"/>
        <v>5.7441925009020007</v>
      </c>
      <c r="AK75" s="226">
        <f t="shared" si="125"/>
        <v>5.9862694550517652</v>
      </c>
      <c r="AL75" s="226">
        <f t="shared" si="125"/>
        <v>6.0564891758852486</v>
      </c>
      <c r="AM75" s="226">
        <f t="shared" si="125"/>
        <v>6.1191203081081245</v>
      </c>
      <c r="AN75" s="226">
        <f t="shared" si="125"/>
        <v>6.2505463793263303</v>
      </c>
      <c r="AO75" s="226">
        <f t="shared" si="125"/>
        <v>5.8214120181479911</v>
      </c>
      <c r="AP75" s="226">
        <f>SUM(AP50:AP54)/SUM(AP64:AP67)</f>
        <v>6.0066310903407114</v>
      </c>
      <c r="AQ75" s="226">
        <f t="shared" ref="AQ75:AS75" si="126">SUM(AQ50:AQ54)/SUM(AQ64:AQ67)</f>
        <v>6.3021433524554</v>
      </c>
      <c r="AR75" s="226">
        <f t="shared" si="126"/>
        <v>6.7537857898973774</v>
      </c>
      <c r="AS75" s="226">
        <f t="shared" si="126"/>
        <v>6.7305413229718809</v>
      </c>
      <c r="AT75" s="226">
        <f>SUM(AT50:AT54)/SUM(AT64:AT67)</f>
        <v>6.6436742695199653</v>
      </c>
      <c r="AU75" s="226">
        <f t="shared" ref="AU75:AV75" si="127">SUM(AU50:AU54)/SUM(AU64:AU67)</f>
        <v>6.0237093292904671</v>
      </c>
      <c r="AV75" s="226">
        <f t="shared" si="127"/>
        <v>5.749615016083772</v>
      </c>
      <c r="AW75" s="224"/>
      <c r="AX75" s="224"/>
      <c r="AY75" s="224"/>
      <c r="AZ75" s="224"/>
      <c r="BA75" s="224"/>
      <c r="BB75" s="224"/>
      <c r="BC75" s="223"/>
      <c r="BD75" s="223"/>
      <c r="BE75" s="223"/>
      <c r="BF75" s="223"/>
      <c r="BG75" s="223"/>
      <c r="BH75" s="223"/>
      <c r="BI75" s="223"/>
      <c r="BJ75" s="223"/>
      <c r="BK75" s="226">
        <f t="shared" ref="BK75:BO75" si="128">SUM(BK50:BK54)/SUM(BK64:BK67)</f>
        <v>5.0867015200773222</v>
      </c>
      <c r="BL75" s="226">
        <f t="shared" si="128"/>
        <v>5.8311180757467049</v>
      </c>
      <c r="BM75" s="226">
        <f t="shared" si="128"/>
        <v>5.5315795027476309</v>
      </c>
      <c r="BN75" s="226">
        <f t="shared" si="128"/>
        <v>5.214162503794884</v>
      </c>
      <c r="BO75" s="226">
        <f t="shared" si="128"/>
        <v>6.0564891758852486</v>
      </c>
      <c r="BP75" s="226">
        <f>SUM(BP50:BP54)/SUM(BP64:BP67)</f>
        <v>6.0066310903407114</v>
      </c>
      <c r="BQ75" s="226">
        <f>SUM(BQ50:BQ54)/SUM(BQ64:BQ67)</f>
        <v>6.6436742695199653</v>
      </c>
      <c r="CG75" s="209" t="s">
        <v>1568</v>
      </c>
      <c r="CM75" s="210"/>
    </row>
    <row r="76" spans="2:119" ht="13.5" customHeight="1">
      <c r="B76" s="204" t="s">
        <v>498</v>
      </c>
      <c r="S76" s="226">
        <f t="shared" ref="S76:AO76" si="129">(SUM(S50:S54)-S53)/SUM(S64:S67)</f>
        <v>4.3421166368927562</v>
      </c>
      <c r="T76" s="226">
        <f t="shared" si="129"/>
        <v>4.3271885437422055</v>
      </c>
      <c r="U76" s="226">
        <f t="shared" si="129"/>
        <v>3.6089802360532457</v>
      </c>
      <c r="V76" s="226">
        <f t="shared" si="129"/>
        <v>3.4063570863720241</v>
      </c>
      <c r="W76" s="226">
        <f t="shared" si="129"/>
        <v>3.2652996343983474</v>
      </c>
      <c r="X76" s="226">
        <f t="shared" si="129"/>
        <v>5.0566020718445577</v>
      </c>
      <c r="Y76" s="226">
        <f t="shared" si="129"/>
        <v>3.689343389940309</v>
      </c>
      <c r="Z76" s="226">
        <f t="shared" si="129"/>
        <v>3.7587792168560963</v>
      </c>
      <c r="AA76" s="226">
        <f t="shared" si="129"/>
        <v>3.484704367881855</v>
      </c>
      <c r="AB76" s="226">
        <f t="shared" si="129"/>
        <v>3.6848657053477223</v>
      </c>
      <c r="AC76" s="226">
        <f t="shared" si="129"/>
        <v>3.5299120259872301</v>
      </c>
      <c r="AD76" s="226">
        <f t="shared" si="129"/>
        <v>3.3926962507203902</v>
      </c>
      <c r="AE76" s="226">
        <f t="shared" si="129"/>
        <v>3.19738814287581</v>
      </c>
      <c r="AF76" s="226">
        <f t="shared" si="129"/>
        <v>2.8988077250624991</v>
      </c>
      <c r="AG76" s="226">
        <f t="shared" si="129"/>
        <v>2.9156015961599637</v>
      </c>
      <c r="AH76" s="226">
        <f t="shared" si="129"/>
        <v>2.9095920845637959</v>
      </c>
      <c r="AI76" s="226">
        <f t="shared" si="129"/>
        <v>3.0236728445683663</v>
      </c>
      <c r="AJ76" s="226">
        <f t="shared" si="129"/>
        <v>3.2548777441647472</v>
      </c>
      <c r="AK76" s="226">
        <f t="shared" si="129"/>
        <v>3.406657108589862</v>
      </c>
      <c r="AL76" s="226">
        <f t="shared" si="129"/>
        <v>3.4892486635261739</v>
      </c>
      <c r="AM76" s="226">
        <f t="shared" si="129"/>
        <v>3.5120726946699512</v>
      </c>
      <c r="AN76" s="226">
        <f t="shared" si="129"/>
        <v>3.7749579453488216</v>
      </c>
      <c r="AO76" s="226">
        <f t="shared" si="129"/>
        <v>3.2531905865456801</v>
      </c>
      <c r="AP76" s="226">
        <f>(SUM(AP50:AP54)-AP53)/SUM(AP64:AP67)</f>
        <v>3.4379550980454061</v>
      </c>
      <c r="AQ76" s="226">
        <f>(SUM(AQ50:AQ54)-AQ53)/SUM(AQ64:AQ67)</f>
        <v>3.6805522284561558</v>
      </c>
      <c r="AR76" s="226">
        <f>(SUM(AR50:AR54)-AR53)/SUM(AR64:AR67)</f>
        <v>4.0431792394825088</v>
      </c>
      <c r="AS76" s="226">
        <f>(SUM(AS50:AS54)-AS53)/SUM(AS64:AS67)</f>
        <v>4.1812644823499578</v>
      </c>
      <c r="AT76" s="226">
        <f>(SUM(AT50:AT54)-AT53)/SUM(AT64:AT67)</f>
        <v>4.2871956446953847</v>
      </c>
      <c r="AU76" s="226">
        <f t="shared" ref="AU76:AV76" si="130">(SUM(AU50:AU54)-AU53)/SUM(AU64:AU67)</f>
        <v>3.9525010508617058</v>
      </c>
      <c r="AV76" s="226">
        <f t="shared" si="130"/>
        <v>3.8561357881048517</v>
      </c>
      <c r="AW76" s="224"/>
      <c r="AX76" s="224"/>
      <c r="AY76" s="224"/>
      <c r="AZ76" s="224"/>
      <c r="BA76" s="224"/>
      <c r="BB76" s="224"/>
      <c r="BC76" s="223"/>
      <c r="BD76" s="223"/>
      <c r="BE76" s="223"/>
      <c r="BF76" s="223"/>
      <c r="BG76" s="223"/>
      <c r="BH76" s="223"/>
      <c r="BI76" s="223"/>
      <c r="BJ76" s="223"/>
      <c r="BK76" s="226">
        <f t="shared" ref="BK76:BO76" si="131">(SUM(BK50:BK54)-BK53)/SUM(BK64:BK67)</f>
        <v>3.4063570863720241</v>
      </c>
      <c r="BL76" s="226">
        <f t="shared" si="131"/>
        <v>3.7587792168560963</v>
      </c>
      <c r="BM76" s="226">
        <f t="shared" si="131"/>
        <v>3.3926962507203902</v>
      </c>
      <c r="BN76" s="226">
        <f t="shared" si="131"/>
        <v>2.9095920845637959</v>
      </c>
      <c r="BO76" s="226">
        <f t="shared" si="131"/>
        <v>3.4892486635261739</v>
      </c>
      <c r="BP76" s="226">
        <f>(SUM(BP50:BP54)-BP53)/SUM(BP64:BP67)</f>
        <v>3.4379550980454061</v>
      </c>
      <c r="BQ76" s="226">
        <f>(SUM(BQ50:BQ54)-BQ53)/SUM(BQ64:BQ67)</f>
        <v>4.2871956446953847</v>
      </c>
      <c r="CF76" s="209" t="s">
        <v>1569</v>
      </c>
    </row>
    <row r="77" spans="2:119" ht="13.5" customHeight="1">
      <c r="B77" s="204" t="s">
        <v>499</v>
      </c>
      <c r="S77" s="226">
        <f t="shared" ref="S77:AO77" si="132">S50/SUM(S64:S67)</f>
        <v>1.3773699072206536</v>
      </c>
      <c r="T77" s="226">
        <f t="shared" si="132"/>
        <v>1.1075099267499031</v>
      </c>
      <c r="U77" s="226">
        <f t="shared" si="132"/>
        <v>1.2949388977218657</v>
      </c>
      <c r="V77" s="226">
        <f t="shared" si="132"/>
        <v>0.79934759687197954</v>
      </c>
      <c r="W77" s="226">
        <f t="shared" si="132"/>
        <v>0.82267184413107164</v>
      </c>
      <c r="X77" s="226">
        <f t="shared" si="132"/>
        <v>1.731446168118332</v>
      </c>
      <c r="Y77" s="226">
        <f t="shared" si="132"/>
        <v>0.74142797649345238</v>
      </c>
      <c r="Z77" s="226">
        <f t="shared" si="132"/>
        <v>0.65768606275724051</v>
      </c>
      <c r="AA77" s="226">
        <f t="shared" si="132"/>
        <v>0.49732706370349183</v>
      </c>
      <c r="AB77" s="226">
        <f t="shared" si="132"/>
        <v>0.76149973159580187</v>
      </c>
      <c r="AC77" s="226">
        <f t="shared" si="132"/>
        <v>0.57118484882428466</v>
      </c>
      <c r="AD77" s="226">
        <f t="shared" si="132"/>
        <v>0.48198413922416938</v>
      </c>
      <c r="AE77" s="226">
        <f t="shared" si="132"/>
        <v>0.52393177503285948</v>
      </c>
      <c r="AF77" s="226">
        <f t="shared" si="132"/>
        <v>0.39994780363176835</v>
      </c>
      <c r="AG77" s="226">
        <f t="shared" si="132"/>
        <v>0.39646647196599494</v>
      </c>
      <c r="AH77" s="226">
        <f t="shared" si="132"/>
        <v>0.48200535423508972</v>
      </c>
      <c r="AI77" s="226">
        <f t="shared" si="132"/>
        <v>0.64709419933300527</v>
      </c>
      <c r="AJ77" s="226">
        <f t="shared" si="132"/>
        <v>0.79214426466098642</v>
      </c>
      <c r="AK77" s="226">
        <f t="shared" si="132"/>
        <v>0.69450226774562651</v>
      </c>
      <c r="AL77" s="226">
        <f t="shared" si="132"/>
        <v>1.1081220557878579</v>
      </c>
      <c r="AM77" s="226">
        <f t="shared" si="132"/>
        <v>1.4601367115282045</v>
      </c>
      <c r="AN77" s="226">
        <f t="shared" si="132"/>
        <v>1.9095593202378902</v>
      </c>
      <c r="AO77" s="226">
        <f t="shared" si="132"/>
        <v>1.8309625616085126</v>
      </c>
      <c r="AP77" s="226">
        <f>AP50/SUM(AP64:AP67)</f>
        <v>2.048691149073226</v>
      </c>
      <c r="AQ77" s="226">
        <f t="shared" ref="AQ77:AS77" si="133">AQ50/SUM(AQ64:AQ67)</f>
        <v>2.3706360713610288</v>
      </c>
      <c r="AR77" s="226">
        <f t="shared" si="133"/>
        <v>2.6734617554401914</v>
      </c>
      <c r="AS77" s="226">
        <f t="shared" si="133"/>
        <v>1.8928261882160102</v>
      </c>
      <c r="AT77" s="226">
        <f>AT50/SUM(AT64:AT67)</f>
        <v>1.0205151447308785</v>
      </c>
      <c r="AU77" s="226">
        <f t="shared" ref="AU77:AV77" si="134">AU50/SUM(AU64:AU67)</f>
        <v>1.1396016643760241</v>
      </c>
      <c r="AV77" s="226">
        <f t="shared" si="134"/>
        <v>0.87806703853261237</v>
      </c>
      <c r="AW77" s="224"/>
      <c r="AX77" s="224"/>
      <c r="AY77" s="224"/>
      <c r="AZ77" s="224"/>
      <c r="BA77" s="224"/>
      <c r="BB77" s="224"/>
      <c r="BC77" s="223"/>
      <c r="BD77" s="223"/>
      <c r="BE77" s="223"/>
      <c r="BF77" s="223"/>
      <c r="BG77" s="223"/>
      <c r="BH77" s="223"/>
      <c r="BI77" s="223"/>
      <c r="BJ77" s="223"/>
      <c r="BK77" s="226">
        <f t="shared" ref="BK77:BO77" si="135">SUM(BK50:BK51)/SUM(BK64:BK67)</f>
        <v>2.0801006062736138</v>
      </c>
      <c r="BL77" s="226">
        <f t="shared" si="135"/>
        <v>2.5000188800362495</v>
      </c>
      <c r="BM77" s="226">
        <f t="shared" si="135"/>
        <v>2.068840962036413</v>
      </c>
      <c r="BN77" s="226">
        <f t="shared" si="135"/>
        <v>1.2973670410951346</v>
      </c>
      <c r="BO77" s="226">
        <f t="shared" si="135"/>
        <v>1.9133210712962474</v>
      </c>
      <c r="BP77" s="226">
        <f>SUM(BP50:BP51)/SUM(BP64:BP67)</f>
        <v>2.1480122517288196</v>
      </c>
      <c r="BQ77" s="226">
        <f>SUM(BQ50:BQ51)/SUM(BQ64:BQ67)</f>
        <v>2.9749362485188358</v>
      </c>
      <c r="CE77" s="209" t="s">
        <v>1888</v>
      </c>
    </row>
    <row r="78" spans="2:119" ht="13.5" customHeight="1">
      <c r="B78" s="204" t="s">
        <v>1518</v>
      </c>
      <c r="S78" s="226">
        <f t="shared" ref="S78:AV78" si="136">S26/SUM(S55:S57)</f>
        <v>1.6518210813313441</v>
      </c>
      <c r="T78" s="226">
        <f t="shared" si="136"/>
        <v>1.6688345602865102</v>
      </c>
      <c r="U78" s="226">
        <f t="shared" si="136"/>
        <v>1.5953660712243545</v>
      </c>
      <c r="V78" s="226">
        <f t="shared" si="136"/>
        <v>1.0724088798328577</v>
      </c>
      <c r="W78" s="226">
        <f t="shared" si="136"/>
        <v>0.97270337860335965</v>
      </c>
      <c r="X78" s="226">
        <f t="shared" si="136"/>
        <v>0.73607687135813538</v>
      </c>
      <c r="Y78" s="226">
        <f t="shared" si="136"/>
        <v>1.0386164611429591</v>
      </c>
      <c r="Z78" s="226">
        <f t="shared" si="136"/>
        <v>1.3098739660665801</v>
      </c>
      <c r="AA78" s="226">
        <f t="shared" si="136"/>
        <v>1.3146648847725753</v>
      </c>
      <c r="AB78" s="226">
        <f t="shared" si="136"/>
        <v>1.0200580043835374</v>
      </c>
      <c r="AC78" s="226">
        <f t="shared" si="136"/>
        <v>0.83733796122962267</v>
      </c>
      <c r="AD78" s="226">
        <f t="shared" si="136"/>
        <v>0.89829008265554611</v>
      </c>
      <c r="AE78" s="226">
        <f t="shared" si="136"/>
        <v>0.7475189629320047</v>
      </c>
      <c r="AF78" s="226">
        <f t="shared" si="136"/>
        <v>0.75573970336400309</v>
      </c>
      <c r="AG78" s="226">
        <f t="shared" si="136"/>
        <v>0.78312811492231016</v>
      </c>
      <c r="AH78" s="226">
        <f t="shared" si="136"/>
        <v>0.76031879136967551</v>
      </c>
      <c r="AI78" s="226">
        <f t="shared" si="136"/>
        <v>0.83926684096345328</v>
      </c>
      <c r="AJ78" s="226">
        <f t="shared" si="136"/>
        <v>0.91689077604373037</v>
      </c>
      <c r="AK78" s="226">
        <f t="shared" si="136"/>
        <v>0.96228988760851941</v>
      </c>
      <c r="AL78" s="226">
        <f t="shared" si="136"/>
        <v>0.97327193980973492</v>
      </c>
      <c r="AM78" s="226">
        <f t="shared" si="136"/>
        <v>0.9550309605480034</v>
      </c>
      <c r="AN78" s="226">
        <f t="shared" si="136"/>
        <v>1.1072853756227092</v>
      </c>
      <c r="AO78" s="226">
        <f t="shared" si="136"/>
        <v>1.1159307455603753</v>
      </c>
      <c r="AP78" s="226">
        <f t="shared" si="136"/>
        <v>1.1752829246850389</v>
      </c>
      <c r="AQ78" s="226">
        <f t="shared" si="136"/>
        <v>1.1790253235463151</v>
      </c>
      <c r="AR78" s="226">
        <f t="shared" si="136"/>
        <v>1.1848755628468706</v>
      </c>
      <c r="AS78" s="226">
        <f t="shared" si="136"/>
        <v>1.2013650143106338</v>
      </c>
      <c r="AT78" s="226">
        <f t="shared" si="136"/>
        <v>1.2157447278348239</v>
      </c>
      <c r="AU78" s="226">
        <f t="shared" si="136"/>
        <v>1.1372120616251089</v>
      </c>
      <c r="AV78" s="226">
        <f t="shared" si="136"/>
        <v>1.153064572869521</v>
      </c>
      <c r="AW78" s="224"/>
      <c r="AX78" s="224"/>
      <c r="AY78" s="224"/>
      <c r="AZ78" s="224"/>
      <c r="BA78" s="224"/>
      <c r="BB78" s="224"/>
      <c r="BC78" s="223"/>
      <c r="BD78" s="223"/>
      <c r="BE78" s="223"/>
      <c r="BF78" s="223"/>
      <c r="BG78" s="223"/>
      <c r="BH78" s="223"/>
      <c r="BI78" s="223"/>
      <c r="BJ78" s="223"/>
      <c r="BK78" s="226">
        <f t="shared" ref="BK78:BQ78" si="137">BK26/SUM(BK55:BK57)</f>
        <v>4.0412763098639379</v>
      </c>
      <c r="BL78" s="226">
        <f t="shared" si="137"/>
        <v>4.3979407656208318</v>
      </c>
      <c r="BM78" s="226">
        <f t="shared" si="137"/>
        <v>3.2920862929185728</v>
      </c>
      <c r="BN78" s="226">
        <f t="shared" si="137"/>
        <v>2.9113700880491042</v>
      </c>
      <c r="BO78" s="226">
        <f t="shared" si="137"/>
        <v>3.6183893429594005</v>
      </c>
      <c r="BP78" s="226">
        <f t="shared" si="137"/>
        <v>4.4500569947028445</v>
      </c>
      <c r="BQ78" s="226">
        <f t="shared" si="137"/>
        <v>4.4280351425101339</v>
      </c>
      <c r="CE78" s="209" t="s">
        <v>561</v>
      </c>
    </row>
    <row r="79" spans="2:119" ht="13.5" customHeight="1">
      <c r="B79" s="204" t="s">
        <v>500</v>
      </c>
      <c r="S79" s="226">
        <f t="shared" ref="S79:AV79" si="138">S26/S62</f>
        <v>0.2258113289813973</v>
      </c>
      <c r="T79" s="226">
        <f t="shared" si="138"/>
        <v>0.229360683223126</v>
      </c>
      <c r="U79" s="226">
        <f t="shared" si="138"/>
        <v>0.22713906573098652</v>
      </c>
      <c r="V79" s="226">
        <f t="shared" si="138"/>
        <v>0.2181420361284937</v>
      </c>
      <c r="W79" s="226">
        <f t="shared" si="138"/>
        <v>0.20670239672407562</v>
      </c>
      <c r="X79" s="226">
        <f t="shared" si="138"/>
        <v>0.13470904896180469</v>
      </c>
      <c r="Y79" s="226">
        <f t="shared" si="138"/>
        <v>0.18647322486375484</v>
      </c>
      <c r="Z79" s="226">
        <f t="shared" si="138"/>
        <v>0.2028134238495814</v>
      </c>
      <c r="AA79" s="226">
        <f t="shared" si="138"/>
        <v>0.20123117323006956</v>
      </c>
      <c r="AB79" s="226">
        <f t="shared" si="138"/>
        <v>0.20247896657723757</v>
      </c>
      <c r="AC79" s="226">
        <f t="shared" si="138"/>
        <v>0.19532674846209727</v>
      </c>
      <c r="AD79" s="226">
        <f t="shared" si="138"/>
        <v>0.16394615230058271</v>
      </c>
      <c r="AE79" s="226">
        <f t="shared" si="138"/>
        <v>0.15665659936092716</v>
      </c>
      <c r="AF79" s="226">
        <f t="shared" si="138"/>
        <v>0.15686422170344153</v>
      </c>
      <c r="AG79" s="226">
        <f t="shared" si="138"/>
        <v>0.16169781953857482</v>
      </c>
      <c r="AH79" s="226">
        <f t="shared" si="138"/>
        <v>0.16137957496101057</v>
      </c>
      <c r="AI79" s="226">
        <f t="shared" si="138"/>
        <v>0.17300963665109534</v>
      </c>
      <c r="AJ79" s="226">
        <f t="shared" si="138"/>
        <v>0.18254391524936267</v>
      </c>
      <c r="AK79" s="226">
        <f t="shared" si="138"/>
        <v>0.18448940564991143</v>
      </c>
      <c r="AL79" s="226">
        <f t="shared" si="138"/>
        <v>0.18294614487520119</v>
      </c>
      <c r="AM79" s="226">
        <f t="shared" si="138"/>
        <v>0.17640971107925144</v>
      </c>
      <c r="AN79" s="226">
        <f t="shared" si="138"/>
        <v>0.19510465859617179</v>
      </c>
      <c r="AO79" s="226">
        <f t="shared" si="138"/>
        <v>0.20349896526522815</v>
      </c>
      <c r="AP79" s="226">
        <f t="shared" si="138"/>
        <v>0.20578198458624455</v>
      </c>
      <c r="AQ79" s="226">
        <f t="shared" si="138"/>
        <v>0.20343850871175484</v>
      </c>
      <c r="AR79" s="226">
        <f t="shared" si="138"/>
        <v>0.20268281338349625</v>
      </c>
      <c r="AS79" s="226">
        <f t="shared" si="138"/>
        <v>0.20333140522446799</v>
      </c>
      <c r="AT79" s="226">
        <f t="shared" si="138"/>
        <v>0.21099517057384273</v>
      </c>
      <c r="AU79" s="226">
        <f t="shared" si="138"/>
        <v>0.19740333895549922</v>
      </c>
      <c r="AV79" s="226">
        <f t="shared" si="138"/>
        <v>0.19751934828327825</v>
      </c>
      <c r="AW79" s="224"/>
      <c r="AX79" s="224"/>
      <c r="AY79" s="224"/>
      <c r="AZ79" s="224"/>
      <c r="BA79" s="224"/>
      <c r="BB79" s="224"/>
      <c r="BC79" s="223"/>
      <c r="BD79" s="223"/>
      <c r="BE79" s="223"/>
      <c r="BF79" s="223"/>
      <c r="BG79" s="223"/>
      <c r="BH79" s="223"/>
      <c r="BI79" s="223"/>
      <c r="BJ79" s="223"/>
      <c r="BK79" s="226">
        <f t="shared" ref="BK79:BQ79" si="139">BK26/BK62</f>
        <v>0.82204862284333569</v>
      </c>
      <c r="BL79" s="226">
        <f t="shared" si="139"/>
        <v>0.68095209743093121</v>
      </c>
      <c r="BM79" s="226">
        <f t="shared" si="139"/>
        <v>0.6008358448864779</v>
      </c>
      <c r="BN79" s="226">
        <f t="shared" si="139"/>
        <v>0.61794562056947122</v>
      </c>
      <c r="BO79" s="226">
        <f t="shared" si="139"/>
        <v>0.68014945656539028</v>
      </c>
      <c r="BP79" s="226">
        <f t="shared" si="139"/>
        <v>0.77916690582164094</v>
      </c>
      <c r="BQ79" s="226">
        <f t="shared" si="139"/>
        <v>0.76849523490414251</v>
      </c>
      <c r="CE79" s="209" t="s">
        <v>566</v>
      </c>
    </row>
    <row r="80" spans="2:119" ht="13.5" customHeight="1">
      <c r="B80" s="204" t="s">
        <v>496</v>
      </c>
      <c r="S80" s="226"/>
      <c r="T80" s="226">
        <f>T27/AVERAGE(A53:T53)</f>
        <v>0.31657928041945399</v>
      </c>
      <c r="U80" s="226">
        <f>U27/AVERAGE(B53:U53)</f>
        <v>0.33059006801170254</v>
      </c>
      <c r="V80" s="226">
        <f t="shared" ref="V80:AV80" si="140">V27/AVERAGE(S53:V53)</f>
        <v>0.34419115808075174</v>
      </c>
      <c r="W80" s="226">
        <f t="shared" si="140"/>
        <v>0.33297424346293208</v>
      </c>
      <c r="X80" s="226">
        <f t="shared" si="140"/>
        <v>0.25009915311574088</v>
      </c>
      <c r="Y80" s="226">
        <f t="shared" si="140"/>
        <v>0.34663673964499597</v>
      </c>
      <c r="Z80" s="226">
        <f t="shared" si="140"/>
        <v>0.38168557110329349</v>
      </c>
      <c r="AA80" s="226">
        <f t="shared" si="140"/>
        <v>0.27561062444260015</v>
      </c>
      <c r="AB80" s="226">
        <f t="shared" si="140"/>
        <v>0.28791755726530988</v>
      </c>
      <c r="AC80" s="226">
        <f t="shared" si="140"/>
        <v>0.28707517627826667</v>
      </c>
      <c r="AD80" s="226">
        <f t="shared" si="140"/>
        <v>0.30736568576230944</v>
      </c>
      <c r="AE80" s="226">
        <f t="shared" si="140"/>
        <v>0.29111084473517479</v>
      </c>
      <c r="AF80" s="226">
        <f t="shared" si="140"/>
        <v>0.27214821272247108</v>
      </c>
      <c r="AG80" s="226">
        <f t="shared" si="140"/>
        <v>0.2717410141762851</v>
      </c>
      <c r="AH80" s="226">
        <f t="shared" si="140"/>
        <v>0.27022674599972879</v>
      </c>
      <c r="AI80" s="226">
        <f t="shared" si="140"/>
        <v>0.27908378308421578</v>
      </c>
      <c r="AJ80" s="226">
        <f t="shared" si="140"/>
        <v>0.27882533773676943</v>
      </c>
      <c r="AK80" s="226">
        <f t="shared" si="140"/>
        <v>0.26419798407300027</v>
      </c>
      <c r="AL80" s="226">
        <f t="shared" si="140"/>
        <v>0.26701613563764443</v>
      </c>
      <c r="AM80" s="226">
        <f t="shared" si="140"/>
        <v>0.25667959278769831</v>
      </c>
      <c r="AN80" s="226">
        <f t="shared" si="140"/>
        <v>0.35609244587414374</v>
      </c>
      <c r="AO80" s="226">
        <f t="shared" si="140"/>
        <v>0.25926862817415797</v>
      </c>
      <c r="AP80" s="226">
        <f t="shared" si="140"/>
        <v>0.26661324225743571</v>
      </c>
      <c r="AQ80" s="226">
        <f t="shared" si="140"/>
        <v>0.27237685965384584</v>
      </c>
      <c r="AR80" s="226">
        <f t="shared" si="140"/>
        <v>0.28094942873778395</v>
      </c>
      <c r="AS80" s="226">
        <f t="shared" si="140"/>
        <v>0.27164976913608935</v>
      </c>
      <c r="AT80" s="226">
        <f t="shared" si="140"/>
        <v>0.28875867178554593</v>
      </c>
      <c r="AU80" s="226">
        <f t="shared" si="140"/>
        <v>0.28055796231505925</v>
      </c>
      <c r="AV80" s="226">
        <f t="shared" si="140"/>
        <v>0.2867498365425995</v>
      </c>
      <c r="AW80" s="224"/>
      <c r="AX80" s="224"/>
      <c r="AY80" s="224"/>
      <c r="AZ80" s="224"/>
      <c r="BA80" s="224"/>
      <c r="BB80" s="224"/>
      <c r="BC80" s="223"/>
      <c r="BD80" s="223"/>
      <c r="BE80" s="223"/>
      <c r="BF80" s="223"/>
      <c r="BG80" s="223"/>
      <c r="BH80" s="223"/>
      <c r="BI80" s="223"/>
      <c r="BJ80" s="223"/>
      <c r="BK80" s="226">
        <f t="shared" ref="BK80:BQ80" si="141">BK27/AVERAGE(BH53:BK53)</f>
        <v>1.1467331625183017</v>
      </c>
      <c r="BL80" s="226">
        <f t="shared" si="141"/>
        <v>1.1931579328839603</v>
      </c>
      <c r="BM80" s="226">
        <f t="shared" si="141"/>
        <v>1.283953567716891</v>
      </c>
      <c r="BN80" s="226">
        <f t="shared" si="141"/>
        <v>1.2862543284788392</v>
      </c>
      <c r="BO80" s="226">
        <f t="shared" si="141"/>
        <v>1.2477387018073789</v>
      </c>
      <c r="BP80" s="226">
        <f t="shared" si="141"/>
        <v>1.2629734175124079</v>
      </c>
      <c r="BQ80" s="226">
        <f t="shared" si="141"/>
        <v>1.1823971441664023</v>
      </c>
      <c r="CF80" s="209" t="s">
        <v>1511</v>
      </c>
    </row>
    <row r="81" spans="2:119" ht="13.5" customHeight="1">
      <c r="B81" s="204" t="s">
        <v>494</v>
      </c>
      <c r="S81" s="236">
        <f t="shared" ref="S81:AV81" si="142">S39/S62</f>
        <v>1.8808380612142642E-2</v>
      </c>
      <c r="T81" s="236">
        <f t="shared" si="142"/>
        <v>2.8688671683395731E-2</v>
      </c>
      <c r="U81" s="236">
        <f t="shared" si="142"/>
        <v>1.8696777765113894E-2</v>
      </c>
      <c r="V81" s="236">
        <f t="shared" si="142"/>
        <v>1.4249865971067921E-2</v>
      </c>
      <c r="W81" s="236">
        <f t="shared" si="142"/>
        <v>2.282307599662792E-3</v>
      </c>
      <c r="X81" s="236">
        <f t="shared" si="142"/>
        <v>-1.5303768264547575E-2</v>
      </c>
      <c r="Y81" s="236">
        <f t="shared" si="142"/>
        <v>-1.0900847089487405E-2</v>
      </c>
      <c r="Z81" s="236">
        <f t="shared" si="142"/>
        <v>4.4411609960351662E-3</v>
      </c>
      <c r="AA81" s="236">
        <f t="shared" si="142"/>
        <v>1.4071910411691393E-2</v>
      </c>
      <c r="AB81" s="236">
        <f t="shared" si="142"/>
        <v>1.0167893845210732E-2</v>
      </c>
      <c r="AC81" s="236">
        <f t="shared" si="142"/>
        <v>9.0851084161065777E-3</v>
      </c>
      <c r="AD81" s="236">
        <f t="shared" si="142"/>
        <v>-1.9823186658629765E-2</v>
      </c>
      <c r="AE81" s="236">
        <f t="shared" si="142"/>
        <v>5.5317680990614748E-5</v>
      </c>
      <c r="AF81" s="236">
        <f t="shared" si="142"/>
        <v>-2.7592439189698067E-3</v>
      </c>
      <c r="AG81" s="236">
        <f t="shared" si="142"/>
        <v>-1.7251802926904591E-3</v>
      </c>
      <c r="AH81" s="236">
        <f t="shared" si="142"/>
        <v>2.8229918461490956E-3</v>
      </c>
      <c r="AI81" s="236">
        <f t="shared" si="142"/>
        <v>6.1664246634052658E-3</v>
      </c>
      <c r="AJ81" s="236">
        <f t="shared" si="142"/>
        <v>1.333303549240087E-2</v>
      </c>
      <c r="AK81" s="236">
        <f t="shared" si="142"/>
        <v>6.272231177688015E-3</v>
      </c>
      <c r="AL81" s="236">
        <f t="shared" si="142"/>
        <v>3.4759253488230148E-2</v>
      </c>
      <c r="AM81" s="236">
        <f t="shared" si="142"/>
        <v>7.0260057157505891E-3</v>
      </c>
      <c r="AN81" s="236">
        <f t="shared" si="142"/>
        <v>-3.922946041245675E-2</v>
      </c>
      <c r="AO81" s="236">
        <f t="shared" si="142"/>
        <v>1.9944250748585503E-2</v>
      </c>
      <c r="AP81" s="236">
        <f t="shared" si="142"/>
        <v>2.1908769769419825E-2</v>
      </c>
      <c r="AQ81" s="236">
        <f t="shared" si="142"/>
        <v>2.4617352462519778E-2</v>
      </c>
      <c r="AR81" s="236">
        <f t="shared" si="142"/>
        <v>2.7029947892565662E-2</v>
      </c>
      <c r="AS81" s="236">
        <f t="shared" si="142"/>
        <v>2.6285149529715331E-2</v>
      </c>
      <c r="AT81" s="236">
        <f t="shared" si="142"/>
        <v>2.5919909598135435E-2</v>
      </c>
      <c r="AU81" s="236">
        <f t="shared" si="142"/>
        <v>1.7163583956916167E-2</v>
      </c>
      <c r="AV81" s="236">
        <f t="shared" si="142"/>
        <v>1.7628295208998928E-2</v>
      </c>
      <c r="AW81" s="237"/>
      <c r="AX81" s="237"/>
      <c r="AY81" s="237"/>
      <c r="AZ81" s="237"/>
      <c r="BA81" s="237"/>
      <c r="BB81" s="237"/>
      <c r="BC81" s="236"/>
      <c r="BD81" s="236"/>
      <c r="BE81" s="236"/>
      <c r="BF81" s="236"/>
      <c r="BG81" s="236"/>
      <c r="BH81" s="236"/>
      <c r="BI81" s="236"/>
      <c r="BJ81" s="236"/>
      <c r="BK81" s="236">
        <f t="shared" ref="BK81:BQ81" si="143">BK39/BK62</f>
        <v>7.2767573558231602E-2</v>
      </c>
      <c r="BL81" s="236">
        <f t="shared" si="143"/>
        <v>-1.8957864257220253E-2</v>
      </c>
      <c r="BM81" s="236">
        <f t="shared" si="143"/>
        <v>4.2467349809121686E-3</v>
      </c>
      <c r="BN81" s="236">
        <f t="shared" si="143"/>
        <v>-1.4603694253204809E-3</v>
      </c>
      <c r="BO81" s="236">
        <f t="shared" si="143"/>
        <v>5.8478254583773738E-2</v>
      </c>
      <c r="BP81" s="236">
        <f t="shared" si="143"/>
        <v>9.1248493323661979E-3</v>
      </c>
      <c r="BQ81" s="236">
        <f t="shared" si="143"/>
        <v>9.7282195398768465E-2</v>
      </c>
      <c r="CE81" s="209" t="s">
        <v>1889</v>
      </c>
    </row>
    <row r="82" spans="2:119" ht="13.5" customHeight="1">
      <c r="B82" s="204" t="s">
        <v>495</v>
      </c>
      <c r="S82" s="236">
        <f t="shared" ref="S82:AV82" si="144">S39/S72</f>
        <v>2.4499442361729757E-2</v>
      </c>
      <c r="T82" s="236">
        <f t="shared" si="144"/>
        <v>3.6958670844131083E-2</v>
      </c>
      <c r="U82" s="236">
        <f t="shared" si="144"/>
        <v>2.4591972005028474E-2</v>
      </c>
      <c r="V82" s="236">
        <f t="shared" si="144"/>
        <v>1.9540251187674339E-2</v>
      </c>
      <c r="W82" s="236">
        <f t="shared" si="144"/>
        <v>3.1058127457146817E-3</v>
      </c>
      <c r="X82" s="236">
        <f t="shared" si="144"/>
        <v>-1.916037749474055E-2</v>
      </c>
      <c r="Y82" s="236">
        <f t="shared" si="144"/>
        <v>-1.4253395125477644E-2</v>
      </c>
      <c r="Z82" s="236">
        <f t="shared" si="144"/>
        <v>5.7307443852816437E-3</v>
      </c>
      <c r="AA82" s="236">
        <f t="shared" si="144"/>
        <v>1.8189896244413667E-2</v>
      </c>
      <c r="AB82" s="236">
        <f t="shared" si="144"/>
        <v>1.3744178586703451E-2</v>
      </c>
      <c r="AC82" s="236">
        <f t="shared" si="144"/>
        <v>1.2915514539083208E-2</v>
      </c>
      <c r="AD82" s="236">
        <f t="shared" si="144"/>
        <v>-2.5856276214008073E-2</v>
      </c>
      <c r="AE82" s="236">
        <f t="shared" si="144"/>
        <v>7.5054570927609243E-5</v>
      </c>
      <c r="AF82" s="236">
        <f t="shared" si="144"/>
        <v>-3.7772611763735682E-3</v>
      </c>
      <c r="AG82" s="236">
        <f t="shared" si="144"/>
        <v>-2.341458605476552E-3</v>
      </c>
      <c r="AH82" s="236">
        <f t="shared" si="144"/>
        <v>3.8744245928850241E-3</v>
      </c>
      <c r="AI82" s="236">
        <f t="shared" si="144"/>
        <v>8.3984971726816914E-3</v>
      </c>
      <c r="AJ82" s="236">
        <f t="shared" si="144"/>
        <v>1.7908326246574215E-2</v>
      </c>
      <c r="AK82" s="236">
        <f t="shared" si="144"/>
        <v>8.3413486357683496E-3</v>
      </c>
      <c r="AL82" s="236">
        <f t="shared" si="144"/>
        <v>4.588528678304242E-2</v>
      </c>
      <c r="AM82" s="236">
        <f t="shared" si="144"/>
        <v>9.2228617293613462E-3</v>
      </c>
      <c r="AN82" s="236">
        <f t="shared" si="144"/>
        <v>-5.1841537127410513E-2</v>
      </c>
      <c r="AO82" s="236">
        <f t="shared" si="144"/>
        <v>2.6714239142246562E-2</v>
      </c>
      <c r="AP82" s="236">
        <f t="shared" si="144"/>
        <v>2.9185068435901025E-2</v>
      </c>
      <c r="AQ82" s="236">
        <f t="shared" si="144"/>
        <v>3.2338677628986165E-2</v>
      </c>
      <c r="AR82" s="236">
        <f t="shared" si="144"/>
        <v>3.49858959001507E-2</v>
      </c>
      <c r="AS82" s="236">
        <f t="shared" si="144"/>
        <v>3.3746327360940194E-2</v>
      </c>
      <c r="AT82" s="236">
        <f t="shared" si="144"/>
        <v>3.3162580913601289E-2</v>
      </c>
      <c r="AU82" s="236">
        <f t="shared" si="144"/>
        <v>2.2108654292406368E-2</v>
      </c>
      <c r="AV82" s="236">
        <f t="shared" si="144"/>
        <v>2.2740902267230904E-2</v>
      </c>
      <c r="AW82" s="237"/>
      <c r="AX82" s="237"/>
      <c r="AY82" s="237"/>
      <c r="AZ82" s="237"/>
      <c r="BA82" s="237"/>
      <c r="BB82" s="237"/>
      <c r="BC82" s="236"/>
      <c r="BD82" s="236"/>
      <c r="BE82" s="236"/>
      <c r="BF82" s="236"/>
      <c r="BG82" s="236"/>
      <c r="BH82" s="236"/>
      <c r="BI82" s="236"/>
      <c r="BJ82" s="236"/>
      <c r="BK82" s="236">
        <f t="shared" ref="BK82:BQ82" si="145">BK39/BK72</f>
        <v>9.9783160664973905E-2</v>
      </c>
      <c r="BL82" s="236">
        <f t="shared" si="145"/>
        <v>-2.4462674117418159E-2</v>
      </c>
      <c r="BM82" s="236">
        <f t="shared" si="145"/>
        <v>5.5392079268119735E-3</v>
      </c>
      <c r="BN82" s="236">
        <f t="shared" si="145"/>
        <v>-2.0042888979213188E-3</v>
      </c>
      <c r="BO82" s="236">
        <f t="shared" si="145"/>
        <v>7.7196464620761018E-2</v>
      </c>
      <c r="BP82" s="236">
        <f t="shared" si="145"/>
        <v>1.2155376821025653E-2</v>
      </c>
      <c r="BQ82" s="236">
        <f t="shared" si="145"/>
        <v>0.1244652750099292</v>
      </c>
      <c r="CG82" s="209" t="s">
        <v>1715</v>
      </c>
    </row>
    <row r="83" spans="2:119" ht="13.5" customHeight="1">
      <c r="AQ83" s="204"/>
      <c r="AR83" s="204"/>
      <c r="AS83" s="210"/>
      <c r="AT83" s="204"/>
      <c r="BL83" s="223"/>
      <c r="BM83" s="223"/>
      <c r="BN83" s="223"/>
      <c r="BO83" s="223"/>
      <c r="BP83" s="223"/>
      <c r="BQ83" s="223"/>
      <c r="CG83" s="209" t="s">
        <v>1910</v>
      </c>
    </row>
    <row r="84" spans="2:119" ht="13.5" customHeight="1">
      <c r="B84" s="204" t="s">
        <v>1656</v>
      </c>
      <c r="C84" s="223">
        <f t="shared" ref="C84:AV84" si="146">C39</f>
        <v>0.5</v>
      </c>
      <c r="D84" s="223">
        <f t="shared" si="146"/>
        <v>-0.55000000000000027</v>
      </c>
      <c r="E84" s="223">
        <f t="shared" si="146"/>
        <v>0.32000000000000006</v>
      </c>
      <c r="F84" s="223">
        <f t="shared" si="146"/>
        <v>0.75000000000000011</v>
      </c>
      <c r="G84" s="223">
        <f t="shared" si="146"/>
        <v>2.5</v>
      </c>
      <c r="H84" s="223">
        <f t="shared" si="146"/>
        <v>3</v>
      </c>
      <c r="I84" s="223">
        <f t="shared" si="146"/>
        <v>12.200000000000001</v>
      </c>
      <c r="J84" s="223">
        <f t="shared" si="146"/>
        <v>-2.4</v>
      </c>
      <c r="K84" s="223">
        <f t="shared" si="146"/>
        <v>-3.1</v>
      </c>
      <c r="L84" s="223">
        <f t="shared" si="146"/>
        <v>-1.6</v>
      </c>
      <c r="M84" s="223">
        <f t="shared" si="146"/>
        <v>0.2</v>
      </c>
      <c r="N84" s="223">
        <f t="shared" si="146"/>
        <v>9.1</v>
      </c>
      <c r="O84" s="223">
        <f t="shared" si="146"/>
        <v>5.5</v>
      </c>
      <c r="P84" s="223">
        <f t="shared" si="146"/>
        <v>13.4</v>
      </c>
      <c r="Q84" s="223">
        <f t="shared" si="146"/>
        <v>-18.899999999999999</v>
      </c>
      <c r="R84" s="223">
        <f t="shared" si="146"/>
        <v>6.52</v>
      </c>
      <c r="S84" s="223">
        <f t="shared" si="146"/>
        <v>10.698</v>
      </c>
      <c r="T84" s="223">
        <f t="shared" si="146"/>
        <v>16.785999999999987</v>
      </c>
      <c r="U84" s="223">
        <f t="shared" si="146"/>
        <v>11.483000000000001</v>
      </c>
      <c r="V84" s="223">
        <f t="shared" si="146"/>
        <v>9.4890000000000985</v>
      </c>
      <c r="W84" s="223">
        <f t="shared" si="146"/>
        <v>1.5160000000000133</v>
      </c>
      <c r="X84" s="223">
        <f t="shared" si="146"/>
        <v>-11.940000000000015</v>
      </c>
      <c r="Y84" s="223">
        <f t="shared" si="146"/>
        <v>-8.833000000000002</v>
      </c>
      <c r="Z84" s="223">
        <f t="shared" si="146"/>
        <v>3.6550000000000091</v>
      </c>
      <c r="AA84" s="223">
        <f t="shared" si="146"/>
        <v>11.832000000000003</v>
      </c>
      <c r="AB84" s="223">
        <f t="shared" si="146"/>
        <v>9.2550000000000221</v>
      </c>
      <c r="AC84" s="223">
        <f t="shared" si="146"/>
        <v>8.841999999999981</v>
      </c>
      <c r="AD84" s="223">
        <f t="shared" si="146"/>
        <v>-24.665000000000081</v>
      </c>
      <c r="AE84" s="223">
        <f t="shared" si="146"/>
        <v>7.1999999999997399E-2</v>
      </c>
      <c r="AF84" s="223">
        <f t="shared" si="146"/>
        <v>-3.6640000000000068</v>
      </c>
      <c r="AG84" s="223">
        <f t="shared" si="146"/>
        <v>-2.2800000000000034</v>
      </c>
      <c r="AH84" s="223">
        <f t="shared" si="146"/>
        <v>3.869999999999949</v>
      </c>
      <c r="AI84" s="223">
        <f t="shared" si="146"/>
        <v>8.6040000000000401</v>
      </c>
      <c r="AJ84" s="223">
        <f t="shared" si="146"/>
        <v>19.100000000000001</v>
      </c>
      <c r="AK84" s="223">
        <f t="shared" si="146"/>
        <v>9.2099999999999937</v>
      </c>
      <c r="AL84" s="223">
        <f t="shared" si="146"/>
        <v>54.096000000000032</v>
      </c>
      <c r="AM84" s="223">
        <f t="shared" si="146"/>
        <v>11.099999999999989</v>
      </c>
      <c r="AN84" s="223">
        <f t="shared" si="146"/>
        <v>-60.200000000000038</v>
      </c>
      <c r="AO84" s="223">
        <f t="shared" si="146"/>
        <v>29.500000000000032</v>
      </c>
      <c r="AP84" s="223">
        <f t="shared" si="146"/>
        <v>33.590000000000003</v>
      </c>
      <c r="AQ84" s="223">
        <f t="shared" si="146"/>
        <v>39.222999999999999</v>
      </c>
      <c r="AR84" s="223">
        <f t="shared" si="146"/>
        <v>45.27</v>
      </c>
      <c r="AS84" s="223">
        <f t="shared" si="146"/>
        <v>45.850999999999999</v>
      </c>
      <c r="AT84" s="223">
        <f t="shared" si="146"/>
        <v>47.342999999999947</v>
      </c>
      <c r="AU84" s="223">
        <f t="shared" si="146"/>
        <v>32.58400000000001</v>
      </c>
      <c r="AV84" s="223">
        <f t="shared" si="146"/>
        <v>34.810999999999986</v>
      </c>
      <c r="BG84" s="223">
        <f>SUM(C84:F84)</f>
        <v>1.02</v>
      </c>
      <c r="BH84" s="223">
        <f>SUM(G84:J84)</f>
        <v>15.300000000000002</v>
      </c>
      <c r="BI84" s="223">
        <f>SUM(K84:N84)</f>
        <v>4.5999999999999996</v>
      </c>
      <c r="BJ84" s="223">
        <f>SUM(O84:R84)</f>
        <v>6.52</v>
      </c>
      <c r="BK84" s="223">
        <f t="shared" ref="BK84:BP84" si="147">BK39</f>
        <v>48.455999999999975</v>
      </c>
      <c r="BL84" s="223">
        <f t="shared" si="147"/>
        <v>-15.601999999999894</v>
      </c>
      <c r="BM84" s="223">
        <f t="shared" si="147"/>
        <v>5.2839999999999652</v>
      </c>
      <c r="BN84" s="223">
        <f t="shared" si="147"/>
        <v>-2.0019999999998928</v>
      </c>
      <c r="BO84" s="223">
        <f t="shared" si="147"/>
        <v>91.01</v>
      </c>
      <c r="BP84" s="223">
        <f t="shared" si="147"/>
        <v>13.989999999999876</v>
      </c>
      <c r="BQ84" s="223">
        <f t="shared" ref="BQ84:BQ89" si="148">SUM(AQ84:AT84)</f>
        <v>177.68699999999995</v>
      </c>
      <c r="CD84" s="208"/>
      <c r="CE84" s="208"/>
      <c r="CF84" s="208"/>
      <c r="CG84" s="209" t="s">
        <v>1911</v>
      </c>
    </row>
    <row r="85" spans="2:119" s="210" customFormat="1" ht="13.5" customHeight="1">
      <c r="B85" s="210" t="s">
        <v>481</v>
      </c>
      <c r="C85" s="206">
        <v>-2.7</v>
      </c>
      <c r="D85" s="206">
        <v>-5.6</v>
      </c>
      <c r="E85" s="206">
        <v>-4.3</v>
      </c>
      <c r="F85" s="206">
        <v>-8</v>
      </c>
      <c r="G85" s="206">
        <v>-2.1</v>
      </c>
      <c r="H85" s="206">
        <v>-6.1</v>
      </c>
      <c r="I85" s="206">
        <v>5.7</v>
      </c>
      <c r="J85" s="206">
        <v>-10.4</v>
      </c>
      <c r="K85" s="206">
        <v>2.2000000000000002</v>
      </c>
      <c r="L85" s="206">
        <v>0.6</v>
      </c>
      <c r="M85" s="206">
        <v>10.8</v>
      </c>
      <c r="N85" s="206">
        <v>-0.9</v>
      </c>
      <c r="O85" s="206">
        <v>10.7</v>
      </c>
      <c r="P85" s="206">
        <v>0.1</v>
      </c>
      <c r="Q85" s="206">
        <v>10.4</v>
      </c>
      <c r="R85" s="206">
        <v>7.5</v>
      </c>
      <c r="S85" s="206">
        <v>-2.1</v>
      </c>
      <c r="T85" s="206">
        <v>1.9</v>
      </c>
      <c r="U85" s="206">
        <v>22</v>
      </c>
      <c r="V85" s="206">
        <v>4.8</v>
      </c>
      <c r="W85" s="206">
        <v>-5.92</v>
      </c>
      <c r="X85" s="206">
        <f>-27.609-W85</f>
        <v>-21.689</v>
      </c>
      <c r="Y85" s="206">
        <f>-31.159-SUM(W85:X85)</f>
        <v>-3.5499999999999972</v>
      </c>
      <c r="Z85" s="206">
        <f>-33.242-SUM(W85:Y85)</f>
        <v>-2.0829999999999984</v>
      </c>
      <c r="AA85" s="206">
        <v>-14.368</v>
      </c>
      <c r="AB85" s="206">
        <f>-17.678-AA85</f>
        <v>-3.3100000000000005</v>
      </c>
      <c r="AC85" s="206">
        <f>18.772-SUM(AA85:AB85)</f>
        <v>36.450000000000003</v>
      </c>
      <c r="AD85" s="206">
        <f>9.502-SUM(AA85:AC85)</f>
        <v>-9.2700000000000014</v>
      </c>
      <c r="AE85" s="206">
        <v>-4.5140000000000002</v>
      </c>
      <c r="AF85" s="206">
        <f>-44.089-AE85</f>
        <v>-39.574999999999996</v>
      </c>
      <c r="AG85" s="206">
        <f>-56.998-SUM(AE85:AF85)</f>
        <v>-12.908999999999999</v>
      </c>
      <c r="AH85" s="206">
        <f>-55.661-SUM(AE85:AG85)</f>
        <v>1.3369999999999962</v>
      </c>
      <c r="AI85" s="206">
        <v>13.129</v>
      </c>
      <c r="AJ85" s="206">
        <f>30.228-AI85</f>
        <v>17.099000000000004</v>
      </c>
      <c r="AK85" s="206">
        <f>61.072-SUM(AI85:AJ85)</f>
        <v>30.844000000000001</v>
      </c>
      <c r="AL85" s="206">
        <f>97.333-SUM(AI85:AK85)</f>
        <v>36.260999999999996</v>
      </c>
      <c r="AM85" s="206">
        <v>38.295000000000002</v>
      </c>
      <c r="AN85" s="206">
        <f>60.906-AM85</f>
        <v>22.610999999999997</v>
      </c>
      <c r="AO85" s="206">
        <f>117.373-SUM(AM85:AN85)</f>
        <v>56.467000000000006</v>
      </c>
      <c r="AP85" s="206">
        <f>168.481-SUM(AM85:AO85)</f>
        <v>51.10799999999999</v>
      </c>
      <c r="AQ85" s="206">
        <f>48.97</f>
        <v>48.97</v>
      </c>
      <c r="AR85" s="206">
        <f>93.916-AQ85</f>
        <v>44.945999999999998</v>
      </c>
      <c r="AS85" s="206">
        <v>58.262999999999998</v>
      </c>
      <c r="AT85" s="206">
        <f>238.663-SUM(AQ85:AS85)</f>
        <v>86.484000000000009</v>
      </c>
      <c r="AU85" s="206">
        <v>86.97</v>
      </c>
      <c r="AV85" s="206">
        <v>46.084000000000003</v>
      </c>
      <c r="AW85" s="208"/>
      <c r="AX85" s="208"/>
      <c r="AY85" s="208"/>
      <c r="AZ85" s="208"/>
      <c r="BA85" s="208"/>
      <c r="BB85" s="208"/>
      <c r="BG85" s="223">
        <f>SUM(C85:F85)</f>
        <v>-20.6</v>
      </c>
      <c r="BH85" s="223">
        <f>SUM(G85:J85)</f>
        <v>-12.899999999999999</v>
      </c>
      <c r="BI85" s="223">
        <f>SUM(K85:N85)</f>
        <v>12.700000000000001</v>
      </c>
      <c r="BJ85" s="223">
        <f>SUM(O85:R85)</f>
        <v>28.7</v>
      </c>
      <c r="BK85" s="223">
        <v>26.652000000000001</v>
      </c>
      <c r="BL85" s="223">
        <f>SUM(W85:Z85)</f>
        <v>-33.241999999999997</v>
      </c>
      <c r="BM85" s="206">
        <f>SUM(AA85:AD85)</f>
        <v>9.5020000000000007</v>
      </c>
      <c r="BN85" s="206">
        <f>SUM(AE85:AH85)</f>
        <v>-55.661000000000001</v>
      </c>
      <c r="BO85" s="206">
        <f>SUM(AI85:AL85)</f>
        <v>97.332999999999998</v>
      </c>
      <c r="BP85" s="206">
        <f>SUM(AM85:AP85)</f>
        <v>168.48099999999999</v>
      </c>
      <c r="BQ85" s="206">
        <f t="shared" si="148"/>
        <v>238.66300000000001</v>
      </c>
      <c r="BR85" s="208"/>
      <c r="CH85" s="208" t="s">
        <v>1517</v>
      </c>
      <c r="CL85" s="209"/>
      <c r="CM85" s="209"/>
      <c r="CN85" s="209"/>
      <c r="CO85" s="209"/>
      <c r="CP85" s="209"/>
      <c r="CQ85" s="209"/>
      <c r="CR85" s="209"/>
      <c r="CS85" s="209"/>
      <c r="CT85" s="208"/>
      <c r="CU85" s="208"/>
      <c r="CV85" s="208"/>
      <c r="CW85" s="208"/>
      <c r="CX85" s="208"/>
      <c r="CY85" s="208"/>
      <c r="CZ85" s="208"/>
      <c r="DA85" s="208"/>
      <c r="DB85" s="208"/>
      <c r="DC85" s="208"/>
      <c r="DD85" s="208"/>
      <c r="DE85" s="208"/>
      <c r="DF85" s="208"/>
      <c r="DG85" s="208"/>
      <c r="DH85" s="208"/>
      <c r="DI85" s="208"/>
      <c r="DJ85" s="208"/>
      <c r="DK85" s="208"/>
      <c r="DL85" s="208"/>
      <c r="DM85" s="208"/>
      <c r="DN85" s="208"/>
      <c r="DO85" s="208"/>
    </row>
    <row r="86" spans="2:119" ht="13.5" customHeight="1">
      <c r="B86" s="204" t="s">
        <v>482</v>
      </c>
      <c r="C86" s="223">
        <v>-1.3</v>
      </c>
      <c r="D86" s="223">
        <v>-1.8</v>
      </c>
      <c r="E86" s="223">
        <v>-1.4</v>
      </c>
      <c r="F86" s="223">
        <v>-1</v>
      </c>
      <c r="G86" s="223">
        <v>-1.1000000000000001</v>
      </c>
      <c r="H86" s="223">
        <v>-2.6</v>
      </c>
      <c r="I86" s="223">
        <v>-3.4</v>
      </c>
      <c r="J86" s="223">
        <v>-6.6</v>
      </c>
      <c r="K86" s="223">
        <v>-3.2</v>
      </c>
      <c r="L86" s="223">
        <v>-2.2000000000000002</v>
      </c>
      <c r="M86" s="223">
        <v>-1.4</v>
      </c>
      <c r="N86" s="223">
        <v>-5.7</v>
      </c>
      <c r="O86" s="223">
        <v>-2.8</v>
      </c>
      <c r="P86" s="223">
        <v>-2.2999999999999998</v>
      </c>
      <c r="Q86" s="223">
        <v>-1.5</v>
      </c>
      <c r="R86" s="223">
        <v>-3</v>
      </c>
      <c r="S86" s="223">
        <v>-2.5</v>
      </c>
      <c r="T86" s="223">
        <v>-3.7</v>
      </c>
      <c r="U86" s="223">
        <v>-7.9</v>
      </c>
      <c r="V86" s="223">
        <v>-8</v>
      </c>
      <c r="W86" s="223">
        <v>-10.131</v>
      </c>
      <c r="X86" s="223">
        <f>-16.85-W86</f>
        <v>-6.7190000000000012</v>
      </c>
      <c r="Y86" s="223">
        <f>-21.003-SUM(W86:X86)</f>
        <v>-4.1529999999999987</v>
      </c>
      <c r="Z86" s="223">
        <f>-24.756-SUM(W86:Y86)</f>
        <v>-3.7530000000000001</v>
      </c>
      <c r="AA86" s="223">
        <v>-3.9910000000000001</v>
      </c>
      <c r="AB86" s="223">
        <f>-7.286-AA86</f>
        <v>-3.2949999999999995</v>
      </c>
      <c r="AC86" s="223">
        <f>-13.088-SUM(AA86:AB86)</f>
        <v>-5.8019999999999996</v>
      </c>
      <c r="AD86" s="223">
        <f>-21.18-SUM(AA86:AC86)</f>
        <v>-8.0920000000000005</v>
      </c>
      <c r="AE86" s="223">
        <v>-4.9569999999999999</v>
      </c>
      <c r="AF86" s="223">
        <f>-9.388-AE86</f>
        <v>-4.431</v>
      </c>
      <c r="AG86" s="223">
        <f>-15.736-SUM(AE86:AF86)</f>
        <v>-6.3480000000000008</v>
      </c>
      <c r="AH86" s="223">
        <f>-19.298-SUM(AE86:AG86)</f>
        <v>-3.5619999999999976</v>
      </c>
      <c r="AI86" s="223">
        <v>-3.8940000000000001</v>
      </c>
      <c r="AJ86" s="223">
        <f>-8.236-AI86</f>
        <v>-4.3420000000000005</v>
      </c>
      <c r="AK86" s="223">
        <f>-12.568-SUM(AI86:AJ86)</f>
        <v>-4.331999999999999</v>
      </c>
      <c r="AL86" s="223">
        <f>-16.213-SUM(AI86:AK86)</f>
        <v>-3.6450000000000014</v>
      </c>
      <c r="AM86" s="223">
        <v>-5.8239999999999998</v>
      </c>
      <c r="AN86" s="223">
        <f>-10.36-AM86</f>
        <v>-4.5359999999999996</v>
      </c>
      <c r="AO86" s="223">
        <f>-15.811-SUM(AM86:AN86)</f>
        <v>-5.4510000000000005</v>
      </c>
      <c r="AP86" s="223">
        <f>-21.182-SUM(AM86:AO86)</f>
        <v>-5.3709999999999987</v>
      </c>
      <c r="AQ86" s="223">
        <f>-13.467</f>
        <v>-13.467000000000001</v>
      </c>
      <c r="AR86" s="223">
        <f>-29.046-AQ86</f>
        <v>-15.578999999999999</v>
      </c>
      <c r="AS86" s="223">
        <v>-16.248999999999999</v>
      </c>
      <c r="AT86" s="223">
        <f>-63.729-SUM(AQ86:AS86)</f>
        <v>-18.433999999999997</v>
      </c>
      <c r="AU86" s="223">
        <v>-13.670999999999999</v>
      </c>
      <c r="AV86" s="223">
        <v>-13.542</v>
      </c>
      <c r="BG86" s="223">
        <f>SUM(C86:F86)</f>
        <v>-5.5</v>
      </c>
      <c r="BH86" s="223">
        <f>SUM(G86:J86)</f>
        <v>-13.7</v>
      </c>
      <c r="BI86" s="223">
        <f>SUM(K86:N86)</f>
        <v>-12.5</v>
      </c>
      <c r="BJ86" s="223">
        <f>SUM(O86:R86)</f>
        <v>-9.6</v>
      </c>
      <c r="BK86" s="223">
        <v>-22.109000000000002</v>
      </c>
      <c r="BL86" s="223">
        <f>SUM(W86:Z86)</f>
        <v>-24.756</v>
      </c>
      <c r="BM86" s="223">
        <f>SUM(AA86:AD86)</f>
        <v>-21.18</v>
      </c>
      <c r="BN86" s="223">
        <f>SUM(AE86:AH86)</f>
        <v>-19.297999999999998</v>
      </c>
      <c r="BO86" s="223">
        <f>SUM(AI86:AL86)</f>
        <v>-16.213000000000001</v>
      </c>
      <c r="BP86" s="223">
        <f>SUM(AM86:AP86)</f>
        <v>-21.181999999999999</v>
      </c>
      <c r="BQ86" s="223">
        <f t="shared" si="148"/>
        <v>-63.728999999999999</v>
      </c>
      <c r="CE86" s="209" t="s">
        <v>1699</v>
      </c>
      <c r="CI86" s="208"/>
      <c r="CJ86" s="208"/>
      <c r="CK86" s="208"/>
      <c r="CL86" s="210"/>
    </row>
    <row r="87" spans="2:119" s="210" customFormat="1" ht="13.5" customHeight="1">
      <c r="B87" s="210" t="s">
        <v>483</v>
      </c>
      <c r="C87" s="206">
        <f t="shared" ref="C87:AO87" si="149">C85+C86</f>
        <v>-4</v>
      </c>
      <c r="D87" s="206">
        <f t="shared" si="149"/>
        <v>-7.3999999999999995</v>
      </c>
      <c r="E87" s="206">
        <f t="shared" si="149"/>
        <v>-5.6999999999999993</v>
      </c>
      <c r="F87" s="206">
        <f t="shared" si="149"/>
        <v>-9</v>
      </c>
      <c r="G87" s="206">
        <f t="shared" si="149"/>
        <v>-3.2</v>
      </c>
      <c r="H87" s="206">
        <f t="shared" si="149"/>
        <v>-8.6999999999999993</v>
      </c>
      <c r="I87" s="206">
        <f t="shared" si="149"/>
        <v>2.3000000000000003</v>
      </c>
      <c r="J87" s="206">
        <f t="shared" si="149"/>
        <v>-17</v>
      </c>
      <c r="K87" s="206">
        <f t="shared" si="149"/>
        <v>-1</v>
      </c>
      <c r="L87" s="206">
        <f t="shared" si="149"/>
        <v>-1.6</v>
      </c>
      <c r="M87" s="206">
        <f t="shared" si="149"/>
        <v>9.4</v>
      </c>
      <c r="N87" s="206">
        <f t="shared" si="149"/>
        <v>-6.6000000000000005</v>
      </c>
      <c r="O87" s="206">
        <f t="shared" si="149"/>
        <v>7.8999999999999995</v>
      </c>
      <c r="P87" s="206">
        <f t="shared" si="149"/>
        <v>-2.1999999999999997</v>
      </c>
      <c r="Q87" s="206">
        <f t="shared" si="149"/>
        <v>8.9</v>
      </c>
      <c r="R87" s="206">
        <f t="shared" si="149"/>
        <v>4.5</v>
      </c>
      <c r="S87" s="206">
        <f t="shared" si="149"/>
        <v>-4.5999999999999996</v>
      </c>
      <c r="T87" s="206">
        <f t="shared" si="149"/>
        <v>-1.8000000000000003</v>
      </c>
      <c r="U87" s="206">
        <f t="shared" si="149"/>
        <v>14.1</v>
      </c>
      <c r="V87" s="206">
        <f t="shared" si="149"/>
        <v>-3.2</v>
      </c>
      <c r="W87" s="206">
        <f t="shared" si="149"/>
        <v>-16.051000000000002</v>
      </c>
      <c r="X87" s="206">
        <f t="shared" si="149"/>
        <v>-28.408000000000001</v>
      </c>
      <c r="Y87" s="206">
        <f t="shared" si="149"/>
        <v>-7.7029999999999959</v>
      </c>
      <c r="Z87" s="206">
        <f t="shared" si="149"/>
        <v>-5.8359999999999985</v>
      </c>
      <c r="AA87" s="206">
        <f t="shared" si="149"/>
        <v>-18.359000000000002</v>
      </c>
      <c r="AB87" s="206">
        <f t="shared" si="149"/>
        <v>-6.6050000000000004</v>
      </c>
      <c r="AC87" s="206">
        <f t="shared" si="149"/>
        <v>30.648000000000003</v>
      </c>
      <c r="AD87" s="206">
        <f t="shared" si="149"/>
        <v>-17.362000000000002</v>
      </c>
      <c r="AE87" s="206">
        <f t="shared" si="149"/>
        <v>-9.4710000000000001</v>
      </c>
      <c r="AF87" s="206">
        <f t="shared" si="149"/>
        <v>-44.005999999999993</v>
      </c>
      <c r="AG87" s="206">
        <f t="shared" si="149"/>
        <v>-19.256999999999998</v>
      </c>
      <c r="AH87" s="206">
        <f t="shared" si="149"/>
        <v>-2.2250000000000014</v>
      </c>
      <c r="AI87" s="206">
        <f t="shared" si="149"/>
        <v>9.2349999999999994</v>
      </c>
      <c r="AJ87" s="206">
        <f t="shared" si="149"/>
        <v>12.757000000000003</v>
      </c>
      <c r="AK87" s="206">
        <f t="shared" si="149"/>
        <v>26.512</v>
      </c>
      <c r="AL87" s="206">
        <f t="shared" si="149"/>
        <v>32.615999999999993</v>
      </c>
      <c r="AM87" s="206">
        <f t="shared" si="149"/>
        <v>32.471000000000004</v>
      </c>
      <c r="AN87" s="206">
        <f t="shared" si="149"/>
        <v>18.074999999999996</v>
      </c>
      <c r="AO87" s="206">
        <f t="shared" si="149"/>
        <v>51.016000000000005</v>
      </c>
      <c r="AP87" s="206">
        <f>AP85+AP86</f>
        <v>45.736999999999995</v>
      </c>
      <c r="AQ87" s="206">
        <f t="shared" ref="AQ87:AS87" si="150">AQ85+AQ86</f>
        <v>35.503</v>
      </c>
      <c r="AR87" s="206">
        <f t="shared" si="150"/>
        <v>29.366999999999997</v>
      </c>
      <c r="AS87" s="206">
        <f t="shared" si="150"/>
        <v>42.013999999999996</v>
      </c>
      <c r="AT87" s="206">
        <f>AT85+AT86</f>
        <v>68.050000000000011</v>
      </c>
      <c r="AU87" s="206">
        <f>AU85+AU86</f>
        <v>73.299000000000007</v>
      </c>
      <c r="AV87" s="206">
        <f>AV85+AV86</f>
        <v>32.542000000000002</v>
      </c>
      <c r="AW87" s="208"/>
      <c r="AX87" s="208"/>
      <c r="AY87" s="208"/>
      <c r="AZ87" s="208"/>
      <c r="BA87" s="208"/>
      <c r="BB87" s="208"/>
      <c r="BG87" s="206">
        <f t="shared" ref="BG87:BP87" si="151">BG85+BG86</f>
        <v>-26.1</v>
      </c>
      <c r="BH87" s="206">
        <f t="shared" si="151"/>
        <v>-26.599999999999998</v>
      </c>
      <c r="BI87" s="206">
        <f t="shared" si="151"/>
        <v>0.20000000000000107</v>
      </c>
      <c r="BJ87" s="206">
        <f t="shared" si="151"/>
        <v>19.100000000000001</v>
      </c>
      <c r="BK87" s="206">
        <f t="shared" si="151"/>
        <v>4.5429999999999993</v>
      </c>
      <c r="BL87" s="206">
        <f t="shared" si="151"/>
        <v>-57.997999999999998</v>
      </c>
      <c r="BM87" s="206">
        <f t="shared" si="151"/>
        <v>-11.677999999999999</v>
      </c>
      <c r="BN87" s="206">
        <f t="shared" si="151"/>
        <v>-74.959000000000003</v>
      </c>
      <c r="BO87" s="206">
        <f t="shared" si="151"/>
        <v>81.12</v>
      </c>
      <c r="BP87" s="206">
        <f t="shared" si="151"/>
        <v>147.29900000000001</v>
      </c>
      <c r="BQ87" s="206">
        <f t="shared" si="148"/>
        <v>174.93400000000003</v>
      </c>
      <c r="BR87" s="208"/>
      <c r="CD87" s="208"/>
      <c r="CE87" s="208"/>
      <c r="CF87" s="208" t="s">
        <v>585</v>
      </c>
      <c r="CG87" s="208"/>
      <c r="CH87" s="208"/>
      <c r="CI87" s="209"/>
      <c r="CJ87" s="209"/>
      <c r="CK87" s="209"/>
      <c r="CL87" s="208"/>
      <c r="CM87" s="209"/>
      <c r="CN87" s="209"/>
      <c r="CO87" s="209"/>
      <c r="CP87" s="209"/>
      <c r="CQ87" s="209"/>
      <c r="CR87" s="209"/>
      <c r="CS87" s="209"/>
      <c r="CT87" s="208"/>
      <c r="CU87" s="208"/>
      <c r="CV87" s="208"/>
      <c r="CW87" s="208"/>
      <c r="CX87" s="208"/>
      <c r="CY87" s="208"/>
      <c r="CZ87" s="208"/>
      <c r="DA87" s="208"/>
      <c r="DB87" s="208"/>
      <c r="DC87" s="208"/>
      <c r="DD87" s="208"/>
      <c r="DE87" s="208"/>
      <c r="DF87" s="208"/>
      <c r="DG87" s="208"/>
      <c r="DH87" s="208"/>
      <c r="DI87" s="208"/>
      <c r="DJ87" s="208"/>
      <c r="DK87" s="208"/>
      <c r="DL87" s="208"/>
      <c r="DM87" s="208"/>
      <c r="DN87" s="208"/>
      <c r="DO87" s="208"/>
    </row>
    <row r="88" spans="2:119" ht="13.5" customHeight="1">
      <c r="B88" s="204" t="s">
        <v>295</v>
      </c>
      <c r="C88" s="223">
        <f t="shared" ref="C88:AV88" si="152">C40</f>
        <v>5</v>
      </c>
      <c r="D88" s="223">
        <f t="shared" si="152"/>
        <v>5</v>
      </c>
      <c r="E88" s="223">
        <f t="shared" si="152"/>
        <v>8</v>
      </c>
      <c r="F88" s="223">
        <f t="shared" si="152"/>
        <v>12</v>
      </c>
      <c r="G88" s="223">
        <f t="shared" si="152"/>
        <v>30</v>
      </c>
      <c r="H88" s="223">
        <f t="shared" si="152"/>
        <v>30</v>
      </c>
      <c r="I88" s="223">
        <f t="shared" si="152"/>
        <v>31</v>
      </c>
      <c r="J88" s="223">
        <f t="shared" si="152"/>
        <v>30</v>
      </c>
      <c r="K88" s="223">
        <f t="shared" si="152"/>
        <v>32</v>
      </c>
      <c r="L88" s="223">
        <f t="shared" si="152"/>
        <v>33</v>
      </c>
      <c r="M88" s="223">
        <f t="shared" si="152"/>
        <v>33</v>
      </c>
      <c r="N88" s="223">
        <f t="shared" si="152"/>
        <v>33</v>
      </c>
      <c r="O88" s="223">
        <f t="shared" si="152"/>
        <v>34</v>
      </c>
      <c r="P88" s="223">
        <f t="shared" si="152"/>
        <v>34</v>
      </c>
      <c r="Q88" s="223">
        <f t="shared" si="152"/>
        <v>34</v>
      </c>
      <c r="R88" s="223">
        <f t="shared" si="152"/>
        <v>34</v>
      </c>
      <c r="S88" s="223">
        <f t="shared" si="152"/>
        <v>34.506999999999998</v>
      </c>
      <c r="T88" s="223">
        <f t="shared" si="152"/>
        <v>34.694000000000003</v>
      </c>
      <c r="U88" s="223">
        <f t="shared" si="152"/>
        <v>34.840000000000003</v>
      </c>
      <c r="V88" s="223">
        <f t="shared" si="152"/>
        <v>35</v>
      </c>
      <c r="W88" s="223">
        <f t="shared" si="152"/>
        <v>35</v>
      </c>
      <c r="X88" s="223">
        <f t="shared" si="152"/>
        <v>35.4</v>
      </c>
      <c r="Y88" s="223">
        <f t="shared" si="152"/>
        <v>36.207000000000001</v>
      </c>
      <c r="Z88" s="223">
        <f t="shared" si="152"/>
        <v>37.651000000000003</v>
      </c>
      <c r="AA88" s="223">
        <f t="shared" si="152"/>
        <v>36.454999999999998</v>
      </c>
      <c r="AB88" s="223">
        <f t="shared" si="152"/>
        <v>36.523000000000003</v>
      </c>
      <c r="AC88" s="223">
        <f t="shared" si="152"/>
        <v>36.616999999999997</v>
      </c>
      <c r="AD88" s="223">
        <f t="shared" si="152"/>
        <v>36.700000000000003</v>
      </c>
      <c r="AE88" s="223">
        <f t="shared" si="152"/>
        <v>37.646000000000001</v>
      </c>
      <c r="AF88" s="223">
        <f t="shared" si="152"/>
        <v>37.767000000000003</v>
      </c>
      <c r="AG88" s="223">
        <f t="shared" si="152"/>
        <v>37.917999999999999</v>
      </c>
      <c r="AH88" s="223">
        <f t="shared" si="152"/>
        <v>37.841000000000001</v>
      </c>
      <c r="AI88" s="223">
        <f t="shared" si="152"/>
        <v>39.07</v>
      </c>
      <c r="AJ88" s="223">
        <f t="shared" si="152"/>
        <v>38.15</v>
      </c>
      <c r="AK88" s="223">
        <f t="shared" si="152"/>
        <v>38.956000000000003</v>
      </c>
      <c r="AL88" s="223">
        <f t="shared" si="152"/>
        <v>38.4</v>
      </c>
      <c r="AM88" s="223">
        <f t="shared" si="152"/>
        <v>39.299999999999997</v>
      </c>
      <c r="AN88" s="223">
        <f t="shared" si="152"/>
        <v>38.799999999999997</v>
      </c>
      <c r="AO88" s="223">
        <f t="shared" si="152"/>
        <v>38.6</v>
      </c>
      <c r="AP88" s="223">
        <f t="shared" si="152"/>
        <v>38.630000000000003</v>
      </c>
      <c r="AQ88" s="223">
        <f t="shared" si="152"/>
        <v>38.561999999999998</v>
      </c>
      <c r="AR88" s="223">
        <f t="shared" si="152"/>
        <v>38.834000000000003</v>
      </c>
      <c r="AS88" s="223">
        <f t="shared" si="152"/>
        <v>39.078000000000003</v>
      </c>
      <c r="AT88" s="223">
        <f t="shared" si="152"/>
        <v>38.630000000000003</v>
      </c>
      <c r="AU88" s="223">
        <f t="shared" si="152"/>
        <v>39.274999999999999</v>
      </c>
      <c r="AV88" s="223">
        <f t="shared" si="152"/>
        <v>39.353000000000002</v>
      </c>
      <c r="BG88" s="223">
        <f t="shared" ref="BG88:BL88" si="153">BG40</f>
        <v>12</v>
      </c>
      <c r="BH88" s="223">
        <f t="shared" si="153"/>
        <v>31</v>
      </c>
      <c r="BI88" s="223">
        <f t="shared" si="153"/>
        <v>33</v>
      </c>
      <c r="BJ88" s="223">
        <f t="shared" si="153"/>
        <v>34</v>
      </c>
      <c r="BK88" s="223">
        <f t="shared" si="153"/>
        <v>34.799999999999997</v>
      </c>
      <c r="BL88" s="223">
        <f t="shared" si="153"/>
        <v>35.5</v>
      </c>
      <c r="BM88" s="223">
        <f>AD88</f>
        <v>36.700000000000003</v>
      </c>
      <c r="BN88" s="223">
        <f>AH88</f>
        <v>37.841000000000001</v>
      </c>
      <c r="BO88" s="223">
        <f>AL88</f>
        <v>38.4</v>
      </c>
      <c r="BP88" s="223">
        <f>AP88</f>
        <v>38.630000000000003</v>
      </c>
      <c r="BQ88" s="223">
        <f>AVERAGE(AQ88:AT88)</f>
        <v>38.776000000000003</v>
      </c>
      <c r="CD88" s="210"/>
      <c r="CE88" s="209" t="s">
        <v>1884</v>
      </c>
      <c r="CF88" s="210"/>
      <c r="CG88" s="210"/>
      <c r="CI88" s="208"/>
      <c r="CJ88" s="208"/>
      <c r="CK88" s="208"/>
    </row>
    <row r="89" spans="2:119" ht="13.5" customHeight="1">
      <c r="B89" s="204" t="s">
        <v>484</v>
      </c>
      <c r="C89" s="226">
        <f t="shared" ref="C89:AO89" si="154">C87/C88</f>
        <v>-0.8</v>
      </c>
      <c r="D89" s="226">
        <f t="shared" si="154"/>
        <v>-1.48</v>
      </c>
      <c r="E89" s="226">
        <f t="shared" si="154"/>
        <v>-0.71249999999999991</v>
      </c>
      <c r="F89" s="226">
        <f t="shared" si="154"/>
        <v>-0.75</v>
      </c>
      <c r="G89" s="226">
        <f t="shared" si="154"/>
        <v>-0.10666666666666667</v>
      </c>
      <c r="H89" s="226">
        <f t="shared" si="154"/>
        <v>-0.28999999999999998</v>
      </c>
      <c r="I89" s="226">
        <f t="shared" si="154"/>
        <v>7.4193548387096783E-2</v>
      </c>
      <c r="J89" s="226">
        <f t="shared" si="154"/>
        <v>-0.56666666666666665</v>
      </c>
      <c r="K89" s="226">
        <f t="shared" si="154"/>
        <v>-3.125E-2</v>
      </c>
      <c r="L89" s="226">
        <f t="shared" si="154"/>
        <v>-4.8484848484848485E-2</v>
      </c>
      <c r="M89" s="226">
        <f t="shared" si="154"/>
        <v>0.28484848484848485</v>
      </c>
      <c r="N89" s="226">
        <f t="shared" si="154"/>
        <v>-0.2</v>
      </c>
      <c r="O89" s="226">
        <f t="shared" si="154"/>
        <v>0.23235294117647057</v>
      </c>
      <c r="P89" s="226">
        <f t="shared" si="154"/>
        <v>-6.4705882352941169E-2</v>
      </c>
      <c r="Q89" s="226">
        <f t="shared" si="154"/>
        <v>0.26176470588235295</v>
      </c>
      <c r="R89" s="226">
        <f t="shared" si="154"/>
        <v>0.13235294117647059</v>
      </c>
      <c r="S89" s="226">
        <f t="shared" si="154"/>
        <v>-0.13330628568116615</v>
      </c>
      <c r="T89" s="226">
        <f t="shared" si="154"/>
        <v>-5.1882169827635903E-2</v>
      </c>
      <c r="U89" s="226">
        <f t="shared" si="154"/>
        <v>0.40470723306544198</v>
      </c>
      <c r="V89" s="226">
        <f t="shared" si="154"/>
        <v>-9.1428571428571428E-2</v>
      </c>
      <c r="W89" s="226">
        <f t="shared" si="154"/>
        <v>-0.45860000000000006</v>
      </c>
      <c r="X89" s="226">
        <f t="shared" si="154"/>
        <v>-0.80248587570621477</v>
      </c>
      <c r="Y89" s="226">
        <f t="shared" si="154"/>
        <v>-0.2127489159554781</v>
      </c>
      <c r="Z89" s="226">
        <f t="shared" si="154"/>
        <v>-0.15500252317335525</v>
      </c>
      <c r="AA89" s="226">
        <f t="shared" si="154"/>
        <v>-0.50360718694280626</v>
      </c>
      <c r="AB89" s="226">
        <f t="shared" si="154"/>
        <v>-0.18084494701968623</v>
      </c>
      <c r="AC89" s="226">
        <f t="shared" si="154"/>
        <v>0.83698828413032211</v>
      </c>
      <c r="AD89" s="226">
        <f t="shared" si="154"/>
        <v>-0.47307901907356947</v>
      </c>
      <c r="AE89" s="226">
        <f t="shared" si="154"/>
        <v>-0.25158051320193381</v>
      </c>
      <c r="AF89" s="226">
        <f t="shared" si="154"/>
        <v>-1.1651971297693751</v>
      </c>
      <c r="AG89" s="226">
        <f t="shared" si="154"/>
        <v>-0.50785906429664007</v>
      </c>
      <c r="AH89" s="226">
        <f t="shared" si="154"/>
        <v>-5.8798657540762703E-2</v>
      </c>
      <c r="AI89" s="226">
        <f t="shared" si="154"/>
        <v>0.23637061684156641</v>
      </c>
      <c r="AJ89" s="226">
        <f t="shared" si="154"/>
        <v>0.33439056356487556</v>
      </c>
      <c r="AK89" s="226">
        <f t="shared" si="154"/>
        <v>0.68056268610740323</v>
      </c>
      <c r="AL89" s="226">
        <f t="shared" si="154"/>
        <v>0.84937499999999988</v>
      </c>
      <c r="AM89" s="226">
        <f t="shared" si="154"/>
        <v>0.82623409669211212</v>
      </c>
      <c r="AN89" s="226">
        <f t="shared" si="154"/>
        <v>0.46585051546391743</v>
      </c>
      <c r="AO89" s="226">
        <f t="shared" si="154"/>
        <v>1.321658031088083</v>
      </c>
      <c r="AP89" s="226">
        <f>AP87/AP88</f>
        <v>1.1839761843127101</v>
      </c>
      <c r="AQ89" s="226">
        <f t="shared" ref="AQ89:AS89" si="155">AQ87/AQ88</f>
        <v>0.9206732015974276</v>
      </c>
      <c r="AR89" s="226">
        <f t="shared" si="155"/>
        <v>0.75621877736004517</v>
      </c>
      <c r="AS89" s="226">
        <f t="shared" si="155"/>
        <v>1.0751317877066378</v>
      </c>
      <c r="AT89" s="226">
        <f>AT87/AT88</f>
        <v>1.7615842609370957</v>
      </c>
      <c r="AU89" s="226">
        <f>AU87/AU88</f>
        <v>1.8663017186505413</v>
      </c>
      <c r="AV89" s="226">
        <f>AV87/AV88</f>
        <v>0.8269255202907021</v>
      </c>
      <c r="BG89" s="226">
        <f t="shared" ref="BG89:BO89" si="156">BG87/BG88</f>
        <v>-2.1750000000000003</v>
      </c>
      <c r="BH89" s="226">
        <f t="shared" si="156"/>
        <v>-0.85806451612903223</v>
      </c>
      <c r="BI89" s="226">
        <f t="shared" si="156"/>
        <v>6.0606060606060927E-3</v>
      </c>
      <c r="BJ89" s="226">
        <f t="shared" si="156"/>
        <v>0.56176470588235294</v>
      </c>
      <c r="BK89" s="226">
        <f t="shared" si="156"/>
        <v>0.13054597701149423</v>
      </c>
      <c r="BL89" s="226">
        <f t="shared" si="156"/>
        <v>-1.6337464788732394</v>
      </c>
      <c r="BM89" s="226">
        <f t="shared" si="156"/>
        <v>-0.31820163487738412</v>
      </c>
      <c r="BN89" s="226">
        <f t="shared" si="156"/>
        <v>-1.9808937395946196</v>
      </c>
      <c r="BO89" s="226">
        <f t="shared" si="156"/>
        <v>2.1125000000000003</v>
      </c>
      <c r="BP89" s="226">
        <f>BP87/BP88</f>
        <v>3.8130727413926997</v>
      </c>
      <c r="BQ89" s="226">
        <f t="shared" si="148"/>
        <v>4.5136080276012063</v>
      </c>
      <c r="CD89" s="208" t="s">
        <v>567</v>
      </c>
      <c r="CL89" s="208"/>
    </row>
    <row r="90" spans="2:119" ht="13.5" customHeight="1">
      <c r="CE90" s="209" t="s">
        <v>1700</v>
      </c>
    </row>
    <row r="91" spans="2:119" ht="13.5" customHeight="1">
      <c r="CE91" s="209" t="s">
        <v>1890</v>
      </c>
    </row>
    <row r="92" spans="2:119" ht="13.5" customHeight="1">
      <c r="CF92" s="209" t="s">
        <v>586</v>
      </c>
    </row>
    <row r="93" spans="2:119" ht="13.5" customHeight="1">
      <c r="CG93" s="209" t="s">
        <v>1876</v>
      </c>
    </row>
    <row r="94" spans="2:119" ht="13.5" customHeight="1">
      <c r="CG94" s="209" t="s">
        <v>1877</v>
      </c>
    </row>
    <row r="95" spans="2:119" ht="13.5" customHeight="1">
      <c r="CE95" s="209" t="s">
        <v>568</v>
      </c>
    </row>
    <row r="96" spans="2:119" ht="13.5" customHeight="1">
      <c r="CE96" s="209" t="s">
        <v>1701</v>
      </c>
    </row>
  </sheetData>
  <mergeCells count="1">
    <mergeCell ref="BZ65:CA65"/>
  </mergeCells>
  <conditionalFormatting sqref="BZ65:CA65">
    <cfRule type="colorScale" priority="1">
      <colorScale>
        <cfvo type="min"/>
        <cfvo type="percentile" val="50"/>
        <cfvo type="max"/>
        <color rgb="FFF8696B"/>
        <color rgb="FFFCFCFF"/>
        <color rgb="FF63BE7B"/>
      </colorScale>
    </cfRule>
    <cfRule type="containsText" dxfId="14" priority="2" operator="containsText" text="Strong Sell">
      <formula>NOT(ISERROR(SEARCH("Strong Sell",BZ65)))</formula>
    </cfRule>
    <cfRule type="containsText" dxfId="13" priority="3" operator="containsText" text="Sell">
      <formula>NOT(ISERROR(SEARCH("Sell",BZ65)))</formula>
    </cfRule>
    <cfRule type="containsText" dxfId="12" priority="4" operator="containsText" text="Hold">
      <formula>NOT(ISERROR(SEARCH("Hold",BZ65)))</formula>
    </cfRule>
    <cfRule type="beginsWith" dxfId="11" priority="5" operator="beginsWith" text="Buy">
      <formula>LEFT(BZ65,LEN("Buy"))="Buy"</formula>
    </cfRule>
    <cfRule type="beginsWith" dxfId="10" priority="6" operator="beginsWith" text="Strong">
      <formula>LEFT(BZ65,LEN("Strong"))="Strong"</formula>
    </cfRule>
  </conditionalFormatting>
  <pageMargins left="0.7" right="0.7" top="0.75" bottom="0.75" header="0.3" footer="0.3"/>
  <ignoredErrors>
    <ignoredError sqref="S75:AT82 BG39:CA39 BG26:BQ38 BS26:CA38 BG41:CA41 BG40:BQ40 BS40:CA40" formulaRange="1"/>
    <ignoredError sqref="BQ88 BK71:BQ71 AT26" 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BAB9-DE4D-4C7A-9063-1F5A1C1DB289}">
  <sheetPr>
    <tabColor rgb="FF99CCFF"/>
  </sheetPr>
  <dimension ref="B1:DO96"/>
  <sheetViews>
    <sheetView tabSelected="1" zoomScale="85" zoomScaleNormal="85" workbookViewId="0">
      <pane xSplit="2" ySplit="3" topLeftCell="BA25" activePane="bottomRight" state="frozen"/>
      <selection pane="topRight" activeCell="C1" sqref="C1"/>
      <selection pane="bottomLeft" activeCell="A3" sqref="A3"/>
      <selection pane="bottomRight" activeCell="CA54" sqref="CA54"/>
    </sheetView>
  </sheetViews>
  <sheetFormatPr defaultColWidth="9.140625" defaultRowHeight="13.5" customHeight="1"/>
  <cols>
    <col min="1" max="1" width="3.140625" style="204" customWidth="1"/>
    <col min="2" max="2" width="37.28515625" style="204" customWidth="1"/>
    <col min="3" max="18" width="9" style="205" customWidth="1"/>
    <col min="19" max="22" width="9.28515625" style="204" bestFit="1" customWidth="1"/>
    <col min="23" max="23" width="10" style="204" bestFit="1" customWidth="1"/>
    <col min="24" max="30" width="9.42578125" style="204" bestFit="1" customWidth="1"/>
    <col min="31" max="31" width="9.42578125" style="204" customWidth="1"/>
    <col min="32" max="42" width="9.42578125" style="204" bestFit="1" customWidth="1"/>
    <col min="43" max="44" width="9.140625" style="210"/>
    <col min="45" max="45" width="9.140625" style="208"/>
    <col min="46" max="48" width="9.140625" style="210"/>
    <col min="49" max="54" width="9.140625" style="208"/>
    <col min="55" max="62" width="9.140625" style="204"/>
    <col min="63" max="68" width="9.28515625" style="204" bestFit="1" customWidth="1"/>
    <col min="69" max="69" width="9.28515625" style="204" customWidth="1"/>
    <col min="70" max="71" width="9.140625" style="209"/>
    <col min="72" max="73" width="9.140625" style="209" customWidth="1"/>
    <col min="74" max="74" width="9.42578125" style="209" bestFit="1" customWidth="1"/>
    <col min="75" max="119" width="9.140625" style="209"/>
    <col min="120" max="16384" width="9.140625" style="204"/>
  </cols>
  <sheetData>
    <row r="1" spans="2:119" ht="13.5" customHeight="1">
      <c r="S1" s="206" t="s">
        <v>1489</v>
      </c>
      <c r="W1" s="207" t="s">
        <v>1485</v>
      </c>
      <c r="AA1" s="207" t="s">
        <v>1481</v>
      </c>
      <c r="AE1" s="207" t="s">
        <v>1477</v>
      </c>
      <c r="AI1" s="207" t="s">
        <v>1473</v>
      </c>
      <c r="AM1" s="207" t="s">
        <v>1469</v>
      </c>
      <c r="AQ1" s="207" t="s">
        <v>1465</v>
      </c>
      <c r="AR1" s="207"/>
      <c r="AS1" s="204"/>
      <c r="AU1" s="207" t="s">
        <v>1493</v>
      </c>
    </row>
    <row r="2" spans="2:119" ht="13.5" customHeight="1">
      <c r="B2" s="204" t="s">
        <v>272</v>
      </c>
      <c r="C2" s="204" t="s">
        <v>268</v>
      </c>
      <c r="D2" s="204" t="s">
        <v>269</v>
      </c>
      <c r="E2" s="204" t="s">
        <v>270</v>
      </c>
      <c r="F2" s="204" t="s">
        <v>271</v>
      </c>
      <c r="G2" s="204" t="s">
        <v>268</v>
      </c>
      <c r="H2" s="204" t="s">
        <v>269</v>
      </c>
      <c r="I2" s="204" t="s">
        <v>270</v>
      </c>
      <c r="J2" s="204" t="s">
        <v>271</v>
      </c>
      <c r="K2" s="204" t="s">
        <v>268</v>
      </c>
      <c r="L2" s="204" t="s">
        <v>269</v>
      </c>
      <c r="M2" s="204" t="s">
        <v>270</v>
      </c>
      <c r="N2" s="204" t="s">
        <v>271</v>
      </c>
      <c r="O2" s="204" t="s">
        <v>268</v>
      </c>
      <c r="P2" s="204" t="s">
        <v>269</v>
      </c>
      <c r="Q2" s="204" t="s">
        <v>270</v>
      </c>
      <c r="R2" s="204" t="s">
        <v>271</v>
      </c>
      <c r="S2" s="204" t="s">
        <v>268</v>
      </c>
      <c r="T2" s="204" t="s">
        <v>269</v>
      </c>
      <c r="U2" s="204" t="s">
        <v>270</v>
      </c>
      <c r="V2" s="204" t="s">
        <v>271</v>
      </c>
      <c r="W2" s="204" t="s">
        <v>268</v>
      </c>
      <c r="X2" s="204" t="s">
        <v>269</v>
      </c>
      <c r="Y2" s="204" t="s">
        <v>270</v>
      </c>
      <c r="Z2" s="204" t="s">
        <v>271</v>
      </c>
      <c r="AA2" s="204" t="s">
        <v>268</v>
      </c>
      <c r="AB2" s="204" t="s">
        <v>269</v>
      </c>
      <c r="AC2" s="204" t="s">
        <v>270</v>
      </c>
      <c r="AD2" s="204" t="s">
        <v>271</v>
      </c>
      <c r="AE2" s="204" t="s">
        <v>268</v>
      </c>
      <c r="AF2" s="204" t="s">
        <v>269</v>
      </c>
      <c r="AG2" s="204" t="s">
        <v>270</v>
      </c>
      <c r="AH2" s="204" t="s">
        <v>271</v>
      </c>
      <c r="AI2" s="204" t="s">
        <v>268</v>
      </c>
      <c r="AJ2" s="204" t="s">
        <v>269</v>
      </c>
      <c r="AK2" s="204" t="s">
        <v>270</v>
      </c>
      <c r="AL2" s="204" t="s">
        <v>271</v>
      </c>
      <c r="AM2" s="204" t="s">
        <v>268</v>
      </c>
      <c r="AN2" s="204" t="s">
        <v>269</v>
      </c>
      <c r="AO2" s="204" t="s">
        <v>270</v>
      </c>
      <c r="AP2" s="204" t="s">
        <v>271</v>
      </c>
      <c r="AQ2" s="204" t="s">
        <v>268</v>
      </c>
      <c r="AR2" s="204" t="s">
        <v>269</v>
      </c>
      <c r="AS2" s="2" t="s">
        <v>270</v>
      </c>
      <c r="AT2" s="204" t="s">
        <v>271</v>
      </c>
      <c r="AU2" s="204" t="s">
        <v>268</v>
      </c>
      <c r="AV2" s="204" t="s">
        <v>269</v>
      </c>
      <c r="AW2" s="209" t="s">
        <v>270</v>
      </c>
      <c r="AX2" s="209" t="s">
        <v>271</v>
      </c>
      <c r="AY2" s="209" t="s">
        <v>268</v>
      </c>
      <c r="AZ2" s="209" t="s">
        <v>269</v>
      </c>
      <c r="BA2" s="209" t="s">
        <v>270</v>
      </c>
      <c r="BB2" s="209" t="s">
        <v>271</v>
      </c>
    </row>
    <row r="3" spans="2:119" ht="13.5" customHeight="1">
      <c r="B3" s="210" t="s">
        <v>273</v>
      </c>
      <c r="C3" s="206" t="s">
        <v>1464</v>
      </c>
      <c r="D3" s="206" t="s">
        <v>1463</v>
      </c>
      <c r="E3" s="206" t="s">
        <v>1462</v>
      </c>
      <c r="F3" s="206" t="s">
        <v>1461</v>
      </c>
      <c r="G3" s="206" t="s">
        <v>1460</v>
      </c>
      <c r="H3" s="206" t="s">
        <v>1459</v>
      </c>
      <c r="I3" s="206" t="s">
        <v>1458</v>
      </c>
      <c r="J3" s="206" t="s">
        <v>1457</v>
      </c>
      <c r="K3" s="206" t="s">
        <v>1456</v>
      </c>
      <c r="L3" s="206" t="s">
        <v>1455</v>
      </c>
      <c r="M3" s="206" t="s">
        <v>1454</v>
      </c>
      <c r="N3" s="206" t="s">
        <v>1453</v>
      </c>
      <c r="O3" s="206" t="s">
        <v>1452</v>
      </c>
      <c r="P3" s="206" t="s">
        <v>1451</v>
      </c>
      <c r="Q3" s="206" t="s">
        <v>1450</v>
      </c>
      <c r="R3" s="206" t="s">
        <v>1449</v>
      </c>
      <c r="S3" s="206" t="s">
        <v>1489</v>
      </c>
      <c r="T3" s="206" t="s">
        <v>1488</v>
      </c>
      <c r="U3" s="206" t="s">
        <v>1487</v>
      </c>
      <c r="V3" s="206" t="s">
        <v>1486</v>
      </c>
      <c r="W3" s="206" t="s">
        <v>1485</v>
      </c>
      <c r="X3" s="206" t="s">
        <v>1484</v>
      </c>
      <c r="Y3" s="206" t="s">
        <v>1483</v>
      </c>
      <c r="Z3" s="206" t="s">
        <v>1482</v>
      </c>
      <c r="AA3" s="206" t="s">
        <v>1481</v>
      </c>
      <c r="AB3" s="206" t="s">
        <v>1480</v>
      </c>
      <c r="AC3" s="206" t="s">
        <v>1479</v>
      </c>
      <c r="AD3" s="206" t="s">
        <v>1478</v>
      </c>
      <c r="AE3" s="206" t="s">
        <v>1477</v>
      </c>
      <c r="AF3" s="206" t="s">
        <v>1476</v>
      </c>
      <c r="AG3" s="206" t="s">
        <v>1475</v>
      </c>
      <c r="AH3" s="206" t="s">
        <v>1474</v>
      </c>
      <c r="AI3" s="206" t="s">
        <v>1473</v>
      </c>
      <c r="AJ3" s="206" t="s">
        <v>1472</v>
      </c>
      <c r="AK3" s="206" t="s">
        <v>1471</v>
      </c>
      <c r="AL3" s="206" t="s">
        <v>1470</v>
      </c>
      <c r="AM3" s="206" t="s">
        <v>1469</v>
      </c>
      <c r="AN3" s="206" t="s">
        <v>1468</v>
      </c>
      <c r="AO3" s="206" t="s">
        <v>1467</v>
      </c>
      <c r="AP3" s="206" t="s">
        <v>1466</v>
      </c>
      <c r="AQ3" s="206" t="s">
        <v>1465</v>
      </c>
      <c r="AR3" s="206" t="s">
        <v>1490</v>
      </c>
      <c r="AS3" s="210" t="s">
        <v>1491</v>
      </c>
      <c r="AT3" s="210" t="s">
        <v>1492</v>
      </c>
      <c r="AU3" s="210" t="s">
        <v>1493</v>
      </c>
      <c r="AV3" s="210" t="s">
        <v>1494</v>
      </c>
      <c r="AW3" s="208" t="s">
        <v>1495</v>
      </c>
      <c r="AX3" s="208" t="s">
        <v>1496</v>
      </c>
      <c r="AY3" s="208" t="s">
        <v>1497</v>
      </c>
      <c r="AZ3" s="208" t="s">
        <v>1498</v>
      </c>
      <c r="BA3" s="208" t="s">
        <v>1499</v>
      </c>
      <c r="BB3" s="208" t="s">
        <v>1500</v>
      </c>
      <c r="BG3" s="210">
        <v>2015</v>
      </c>
      <c r="BH3" s="210">
        <v>2016</v>
      </c>
      <c r="BI3" s="210">
        <v>2017</v>
      </c>
      <c r="BJ3" s="210">
        <v>2018</v>
      </c>
      <c r="BK3" s="210">
        <v>2019</v>
      </c>
      <c r="BL3" s="210">
        <v>2020</v>
      </c>
      <c r="BM3" s="210">
        <v>2021</v>
      </c>
      <c r="BN3" s="210">
        <v>2022</v>
      </c>
      <c r="BO3" s="210">
        <f t="shared" ref="BO3:BQ3" si="0">BN3+1</f>
        <v>2023</v>
      </c>
      <c r="BP3" s="210">
        <f t="shared" si="0"/>
        <v>2024</v>
      </c>
      <c r="BQ3" s="210">
        <f t="shared" si="0"/>
        <v>2025</v>
      </c>
      <c r="BR3" s="208">
        <f t="shared" ref="BR3:BS3" si="1">BQ3+1</f>
        <v>2026</v>
      </c>
      <c r="BS3" s="208">
        <f t="shared" si="1"/>
        <v>2027</v>
      </c>
      <c r="BT3" s="208">
        <f t="shared" ref="BT3" si="2">BS3+1</f>
        <v>2028</v>
      </c>
      <c r="BU3" s="208">
        <f t="shared" ref="BU3" si="3">BT3+1</f>
        <v>2029</v>
      </c>
      <c r="BV3" s="208">
        <f t="shared" ref="BV3" si="4">BU3+1</f>
        <v>2030</v>
      </c>
      <c r="BW3" s="208">
        <f t="shared" ref="BW3" si="5">BV3+1</f>
        <v>2031</v>
      </c>
      <c r="BX3" s="208">
        <f t="shared" ref="BX3" si="6">BW3+1</f>
        <v>2032</v>
      </c>
      <c r="BY3" s="208">
        <f t="shared" ref="BY3" si="7">BX3+1</f>
        <v>2033</v>
      </c>
      <c r="BZ3" s="208">
        <f t="shared" ref="BZ3" si="8">BY3+1</f>
        <v>2034</v>
      </c>
      <c r="CA3" s="208">
        <f t="shared" ref="CA3" si="9">BZ3+1</f>
        <v>2035</v>
      </c>
      <c r="CB3" s="208">
        <f t="shared" ref="CB3" si="10">CA3+1</f>
        <v>2036</v>
      </c>
      <c r="CC3" s="208">
        <f t="shared" ref="CC3" si="11">CB3+1</f>
        <v>2037</v>
      </c>
      <c r="CD3" s="208">
        <f t="shared" ref="CD3" si="12">CC3+1</f>
        <v>2038</v>
      </c>
      <c r="CE3" s="208">
        <f t="shared" ref="CE3" si="13">CD3+1</f>
        <v>2039</v>
      </c>
      <c r="CF3" s="208">
        <f t="shared" ref="CF3" si="14">CE3+1</f>
        <v>2040</v>
      </c>
      <c r="CG3" s="208">
        <f t="shared" ref="CG3" si="15">CF3+1</f>
        <v>2041</v>
      </c>
      <c r="CH3" s="208">
        <f t="shared" ref="CH3" si="16">CG3+1</f>
        <v>2042</v>
      </c>
      <c r="CI3" s="208">
        <f t="shared" ref="CI3" si="17">CH3+1</f>
        <v>2043</v>
      </c>
      <c r="CJ3" s="208">
        <f t="shared" ref="CJ3" si="18">CI3+1</f>
        <v>2044</v>
      </c>
      <c r="CK3" s="208">
        <f t="shared" ref="CK3" si="19">CJ3+1</f>
        <v>2045</v>
      </c>
      <c r="CL3" s="208">
        <f t="shared" ref="CL3" si="20">CK3+1</f>
        <v>2046</v>
      </c>
      <c r="CM3" s="208">
        <f t="shared" ref="CM3" si="21">CL3+1</f>
        <v>2047</v>
      </c>
      <c r="CN3" s="208">
        <f t="shared" ref="CN3" si="22">CM3+1</f>
        <v>2048</v>
      </c>
      <c r="CO3" s="208">
        <f t="shared" ref="CO3" si="23">CN3+1</f>
        <v>2049</v>
      </c>
      <c r="CP3" s="208">
        <f t="shared" ref="CP3" si="24">CO3+1</f>
        <v>2050</v>
      </c>
      <c r="CQ3" s="208">
        <f t="shared" ref="CQ3" si="25">CP3+1</f>
        <v>2051</v>
      </c>
      <c r="CR3" s="208">
        <f t="shared" ref="CR3" si="26">CQ3+1</f>
        <v>2052</v>
      </c>
      <c r="CS3" s="208">
        <f t="shared" ref="CS3" si="27">CR3+1</f>
        <v>2053</v>
      </c>
      <c r="CT3" s="208">
        <f t="shared" ref="CT3" si="28">CS3+1</f>
        <v>2054</v>
      </c>
      <c r="CU3" s="208">
        <f t="shared" ref="CU3" si="29">CT3+1</f>
        <v>2055</v>
      </c>
      <c r="CV3" s="208">
        <f t="shared" ref="CV3" si="30">CU3+1</f>
        <v>2056</v>
      </c>
      <c r="CW3" s="208">
        <f t="shared" ref="CW3" si="31">CV3+1</f>
        <v>2057</v>
      </c>
      <c r="CX3" s="208">
        <f t="shared" ref="CX3" si="32">CW3+1</f>
        <v>2058</v>
      </c>
      <c r="CY3" s="208">
        <f t="shared" ref="CY3" si="33">CX3+1</f>
        <v>2059</v>
      </c>
      <c r="CZ3" s="208">
        <f t="shared" ref="CZ3" si="34">CY3+1</f>
        <v>2060</v>
      </c>
      <c r="DA3" s="208">
        <f t="shared" ref="DA3" si="35">CZ3+1</f>
        <v>2061</v>
      </c>
      <c r="DB3" s="208">
        <f t="shared" ref="DB3" si="36">DA3+1</f>
        <v>2062</v>
      </c>
      <c r="DC3" s="208">
        <f t="shared" ref="DC3" si="37">DB3+1</f>
        <v>2063</v>
      </c>
      <c r="DD3" s="208">
        <f t="shared" ref="DD3" si="38">DC3+1</f>
        <v>2064</v>
      </c>
      <c r="DE3" s="208">
        <f t="shared" ref="DE3" si="39">DD3+1</f>
        <v>2065</v>
      </c>
      <c r="DF3" s="208">
        <f t="shared" ref="DF3" si="40">DE3+1</f>
        <v>2066</v>
      </c>
      <c r="DG3" s="208">
        <f t="shared" ref="DG3" si="41">DF3+1</f>
        <v>2067</v>
      </c>
      <c r="DH3" s="208">
        <f t="shared" ref="DH3" si="42">DG3+1</f>
        <v>2068</v>
      </c>
      <c r="DI3" s="208">
        <f t="shared" ref="DI3" si="43">DH3+1</f>
        <v>2069</v>
      </c>
      <c r="DJ3" s="208">
        <f t="shared" ref="DJ3" si="44">DI3+1</f>
        <v>2070</v>
      </c>
      <c r="DK3" s="208">
        <f t="shared" ref="DK3" si="45">DJ3+1</f>
        <v>2071</v>
      </c>
      <c r="DL3" s="208">
        <f t="shared" ref="DL3" si="46">DK3+1</f>
        <v>2072</v>
      </c>
      <c r="DM3" s="208">
        <f t="shared" ref="DM3" si="47">DL3+1</f>
        <v>2073</v>
      </c>
      <c r="DN3" s="208">
        <f t="shared" ref="DN3" si="48">DM3+1</f>
        <v>2074</v>
      </c>
      <c r="DO3" s="208">
        <f t="shared" ref="DO3" si="49">DN3+1</f>
        <v>2075</v>
      </c>
    </row>
    <row r="4" spans="2:119" ht="13.5" customHeight="1">
      <c r="B4" s="238" t="s">
        <v>1621</v>
      </c>
      <c r="AI4" s="204">
        <v>145</v>
      </c>
      <c r="AJ4" s="204">
        <v>162</v>
      </c>
      <c r="AK4" s="204">
        <v>179</v>
      </c>
      <c r="AL4" s="211">
        <f>677-SUM(AI4:AK4)</f>
        <v>191</v>
      </c>
      <c r="AM4" s="204">
        <v>188</v>
      </c>
      <c r="AN4" s="204">
        <v>203</v>
      </c>
      <c r="AO4" s="204">
        <v>204</v>
      </c>
      <c r="AP4" s="211">
        <f>815-SUM(AM4:AO4)</f>
        <v>220</v>
      </c>
      <c r="AQ4" s="211">
        <v>226.54400000000001</v>
      </c>
      <c r="AR4" s="211">
        <v>230.256</v>
      </c>
      <c r="AS4" s="211">
        <v>236.4</v>
      </c>
      <c r="AT4" s="211">
        <f>947.918-SUM(AQ4:AS4)</f>
        <v>254.71799999999996</v>
      </c>
      <c r="AU4" s="211">
        <v>253.917</v>
      </c>
      <c r="AV4" s="211">
        <v>258.98099999999999</v>
      </c>
      <c r="AW4" s="225">
        <f t="shared" ref="AW4:AX5" si="50">AS4*(1+AW8)</f>
        <v>293.13600000000002</v>
      </c>
      <c r="AX4" s="225">
        <f t="shared" si="50"/>
        <v>315.85031999999995</v>
      </c>
      <c r="BO4" s="204">
        <f>SUM(AI4:AL4)</f>
        <v>677</v>
      </c>
      <c r="BP4" s="204">
        <f>SUM(AM4:AP4)</f>
        <v>815</v>
      </c>
      <c r="BQ4" s="211">
        <f>SUM(AQ4:AT4)</f>
        <v>947.91800000000001</v>
      </c>
      <c r="BR4" s="212">
        <f t="shared" ref="BR4:CA4" si="51">BQ4*(1+BR8)</f>
        <v>1118.54324</v>
      </c>
      <c r="BS4" s="212">
        <f t="shared" si="51"/>
        <v>1314.288307</v>
      </c>
      <c r="BT4" s="212">
        <f t="shared" si="51"/>
        <v>1537.7173191899999</v>
      </c>
      <c r="BU4" s="212">
        <f t="shared" si="51"/>
        <v>1791.4406768563499</v>
      </c>
      <c r="BV4" s="212">
        <f t="shared" si="51"/>
        <v>2078.0711851533656</v>
      </c>
      <c r="BW4" s="212">
        <f t="shared" si="51"/>
        <v>2389.7818629263702</v>
      </c>
      <c r="BX4" s="212">
        <f t="shared" si="51"/>
        <v>2736.3002330506938</v>
      </c>
      <c r="BY4" s="212">
        <f t="shared" si="51"/>
        <v>3119.3822656777911</v>
      </c>
      <c r="BZ4" s="212">
        <f t="shared" si="51"/>
        <v>3540.4988715442928</v>
      </c>
      <c r="CA4" s="212">
        <f t="shared" si="51"/>
        <v>4000.7637248450505</v>
      </c>
    </row>
    <row r="5" spans="2:119" ht="13.5" customHeight="1">
      <c r="B5" s="238" t="s">
        <v>1622</v>
      </c>
      <c r="AI5" s="204">
        <v>96</v>
      </c>
      <c r="AJ5" s="204">
        <v>99</v>
      </c>
      <c r="AK5" s="204">
        <v>92</v>
      </c>
      <c r="AL5" s="211">
        <f>381-SUM(AI5:AK5)</f>
        <v>94</v>
      </c>
      <c r="AM5" s="204">
        <v>91</v>
      </c>
      <c r="AN5" s="204">
        <v>96</v>
      </c>
      <c r="AO5" s="211">
        <v>96.89</v>
      </c>
      <c r="AP5" s="211">
        <f>379-SUM(AM5:AO5)</f>
        <v>95.110000000000014</v>
      </c>
      <c r="AQ5" s="211">
        <v>97.596000000000004</v>
      </c>
      <c r="AR5" s="211">
        <v>109.199</v>
      </c>
      <c r="AS5" s="211">
        <v>118.3</v>
      </c>
      <c r="AT5" s="211">
        <f>455.747-SUM(AQ5:AS5)</f>
        <v>130.65199999999999</v>
      </c>
      <c r="AU5" s="211">
        <v>120.84099999999999</v>
      </c>
      <c r="AV5" s="211">
        <v>131.065</v>
      </c>
      <c r="AW5" s="225">
        <f t="shared" si="50"/>
        <v>129.83425</v>
      </c>
      <c r="AX5" s="225">
        <f t="shared" si="50"/>
        <v>143.06393999999997</v>
      </c>
      <c r="BO5" s="204">
        <f>SUM(AI5:AL5)</f>
        <v>381</v>
      </c>
      <c r="BP5" s="204">
        <f>SUM(AM5:AP5)</f>
        <v>379</v>
      </c>
      <c r="BQ5" s="211">
        <f>SUM(AQ5:AT5)</f>
        <v>455.74700000000001</v>
      </c>
      <c r="BR5" s="212">
        <f t="shared" ref="BR5:CA5" si="52">BQ5*(1+BR9)</f>
        <v>524.10905000000002</v>
      </c>
      <c r="BS5" s="212">
        <f t="shared" si="52"/>
        <v>597.48431700000015</v>
      </c>
      <c r="BT5" s="212">
        <f t="shared" si="52"/>
        <v>669.1824350400002</v>
      </c>
      <c r="BU5" s="212">
        <f t="shared" si="52"/>
        <v>736.10067854400029</v>
      </c>
      <c r="BV5" s="212">
        <f t="shared" si="52"/>
        <v>794.98873282752038</v>
      </c>
      <c r="BW5" s="212">
        <f t="shared" si="52"/>
        <v>842.68805679717161</v>
      </c>
      <c r="BX5" s="212">
        <f t="shared" si="52"/>
        <v>884.82245963703019</v>
      </c>
      <c r="BY5" s="212">
        <f t="shared" si="52"/>
        <v>920.2153580225114</v>
      </c>
      <c r="BZ5" s="212">
        <f t="shared" si="52"/>
        <v>952.42289555329921</v>
      </c>
      <c r="CA5" s="212">
        <f t="shared" si="52"/>
        <v>980.99558241989826</v>
      </c>
    </row>
    <row r="6" spans="2:119" s="210" customFormat="1" ht="13.5" customHeight="1">
      <c r="B6" s="210" t="s">
        <v>275</v>
      </c>
      <c r="C6" s="213"/>
      <c r="D6" s="213"/>
      <c r="E6" s="213"/>
      <c r="F6" s="213"/>
      <c r="G6" s="213"/>
      <c r="H6" s="213"/>
      <c r="I6" s="213"/>
      <c r="J6" s="213"/>
      <c r="K6" s="213"/>
      <c r="L6" s="213"/>
      <c r="M6" s="213"/>
      <c r="N6" s="213"/>
      <c r="O6" s="213"/>
      <c r="P6" s="213"/>
      <c r="Q6" s="213"/>
      <c r="R6" s="213"/>
      <c r="AE6" s="214"/>
      <c r="AF6" s="214"/>
      <c r="AG6" s="214"/>
      <c r="AH6" s="214"/>
      <c r="AI6" s="210">
        <f t="shared" ref="AI6:AN6" si="53">SUM(AI4:AI5)</f>
        <v>241</v>
      </c>
      <c r="AJ6" s="210">
        <f t="shared" si="53"/>
        <v>261</v>
      </c>
      <c r="AK6" s="210">
        <f t="shared" si="53"/>
        <v>271</v>
      </c>
      <c r="AL6" s="210">
        <f t="shared" si="53"/>
        <v>285</v>
      </c>
      <c r="AM6" s="210">
        <f t="shared" si="53"/>
        <v>279</v>
      </c>
      <c r="AN6" s="210">
        <f t="shared" si="53"/>
        <v>299</v>
      </c>
      <c r="AO6" s="214">
        <f t="shared" ref="AO6:AT6" si="54">SUM(AO4:AO5)</f>
        <v>300.89</v>
      </c>
      <c r="AP6" s="214">
        <f t="shared" si="54"/>
        <v>315.11</v>
      </c>
      <c r="AQ6" s="214">
        <f t="shared" si="54"/>
        <v>324.14</v>
      </c>
      <c r="AR6" s="214">
        <f t="shared" si="54"/>
        <v>339.45499999999998</v>
      </c>
      <c r="AS6" s="214">
        <f t="shared" si="54"/>
        <v>354.7</v>
      </c>
      <c r="AT6" s="214">
        <f t="shared" si="54"/>
        <v>385.36999999999995</v>
      </c>
      <c r="AU6" s="214">
        <f t="shared" ref="AU6:AV6" si="55">AU4+AU5</f>
        <v>374.75799999999998</v>
      </c>
      <c r="AV6" s="214">
        <f t="shared" si="55"/>
        <v>390.04599999999999</v>
      </c>
      <c r="AW6" s="224">
        <f t="shared" ref="AW6:AX6" si="56">AW4+AW5</f>
        <v>422.97025000000002</v>
      </c>
      <c r="AX6" s="224">
        <f t="shared" si="56"/>
        <v>458.9142599999999</v>
      </c>
      <c r="AY6" s="208"/>
      <c r="AZ6" s="208"/>
      <c r="BA6" s="208"/>
      <c r="BB6" s="208"/>
      <c r="BO6" s="210">
        <f>BO4+BO5</f>
        <v>1058</v>
      </c>
      <c r="BP6" s="210">
        <f>BP4+BP5</f>
        <v>1194</v>
      </c>
      <c r="BQ6" s="214">
        <f>SUM(AQ6:AT6)</f>
        <v>1403.665</v>
      </c>
      <c r="BR6" s="215">
        <f t="shared" ref="BR6" si="57">BR4+BR5</f>
        <v>1642.65229</v>
      </c>
      <c r="BS6" s="215">
        <f t="shared" ref="BS6:BW6" si="58">BS4+BS5</f>
        <v>1911.7726240000002</v>
      </c>
      <c r="BT6" s="215">
        <f t="shared" si="58"/>
        <v>2206.8997542300003</v>
      </c>
      <c r="BU6" s="215">
        <f t="shared" si="58"/>
        <v>2527.5413554003503</v>
      </c>
      <c r="BV6" s="215">
        <f t="shared" si="58"/>
        <v>2873.059917980886</v>
      </c>
      <c r="BW6" s="215">
        <f t="shared" si="58"/>
        <v>3232.4699197235418</v>
      </c>
      <c r="BX6" s="215">
        <f t="shared" ref="BX6:CA6" si="59">BX4+BX5</f>
        <v>3621.1226926877239</v>
      </c>
      <c r="BY6" s="215">
        <f t="shared" si="59"/>
        <v>4039.5976237003024</v>
      </c>
      <c r="BZ6" s="215">
        <f t="shared" si="59"/>
        <v>4492.9217670975922</v>
      </c>
      <c r="CA6" s="215">
        <f t="shared" si="59"/>
        <v>4981.7593072649488</v>
      </c>
      <c r="CB6" s="208"/>
      <c r="CC6" s="208"/>
      <c r="CD6" s="208"/>
      <c r="CE6" s="208"/>
      <c r="CF6" s="208"/>
      <c r="CG6" s="208"/>
      <c r="CH6" s="208"/>
      <c r="CI6" s="208"/>
      <c r="CJ6" s="208"/>
      <c r="CK6" s="208"/>
      <c r="CL6" s="208"/>
      <c r="CM6" s="208"/>
      <c r="CN6" s="208"/>
      <c r="CO6" s="208"/>
      <c r="CP6" s="208"/>
      <c r="CQ6" s="208"/>
      <c r="CR6" s="208"/>
      <c r="CS6" s="208"/>
      <c r="CT6" s="208"/>
      <c r="CU6" s="208"/>
      <c r="CV6" s="208"/>
      <c r="CW6" s="208"/>
      <c r="CX6" s="208"/>
      <c r="CY6" s="208"/>
      <c r="CZ6" s="208"/>
      <c r="DA6" s="208"/>
      <c r="DB6" s="208"/>
      <c r="DC6" s="208"/>
      <c r="DD6" s="208"/>
      <c r="DE6" s="208"/>
      <c r="DF6" s="208"/>
      <c r="DG6" s="208"/>
      <c r="DH6" s="208"/>
      <c r="DI6" s="208"/>
      <c r="DJ6" s="208"/>
      <c r="DK6" s="208"/>
      <c r="DL6" s="208"/>
      <c r="DM6" s="208"/>
      <c r="DN6" s="208"/>
      <c r="DO6" s="208"/>
    </row>
    <row r="7" spans="2:119" ht="13.5" customHeight="1">
      <c r="AQ7" s="204"/>
      <c r="AR7" s="204"/>
      <c r="AS7" s="210"/>
      <c r="AT7" s="204"/>
    </row>
    <row r="8" spans="2:119" ht="13.5" customHeight="1">
      <c r="B8" s="239" t="s">
        <v>281</v>
      </c>
      <c r="W8" s="217"/>
      <c r="X8" s="217"/>
      <c r="Y8" s="217"/>
      <c r="Z8" s="217"/>
      <c r="AA8" s="217"/>
      <c r="AB8" s="217"/>
      <c r="AC8" s="217"/>
      <c r="AD8" s="217"/>
      <c r="AE8" s="217"/>
      <c r="AF8" s="217"/>
      <c r="AG8" s="217"/>
      <c r="AH8" s="217"/>
      <c r="AI8" s="217"/>
      <c r="AJ8" s="217"/>
      <c r="AK8" s="217"/>
      <c r="AL8" s="217"/>
      <c r="AM8" s="217">
        <f t="shared" ref="AM8:AT10" si="60">AM4/AI4-1</f>
        <v>0.29655172413793096</v>
      </c>
      <c r="AN8" s="217">
        <f t="shared" si="60"/>
        <v>0.25308641975308643</v>
      </c>
      <c r="AO8" s="217">
        <f t="shared" si="60"/>
        <v>0.13966480446927365</v>
      </c>
      <c r="AP8" s="217">
        <f t="shared" si="60"/>
        <v>0.1518324607329844</v>
      </c>
      <c r="AQ8" s="217">
        <f t="shared" si="60"/>
        <v>0.20502127659574465</v>
      </c>
      <c r="AR8" s="217">
        <f t="shared" si="60"/>
        <v>0.13426600985221682</v>
      </c>
      <c r="AS8" s="217">
        <f t="shared" si="60"/>
        <v>0.15882352941176481</v>
      </c>
      <c r="AT8" s="217">
        <f t="shared" si="60"/>
        <v>0.15780909090909079</v>
      </c>
      <c r="AU8" s="268">
        <v>0.17</v>
      </c>
      <c r="AV8" s="268">
        <v>0.22</v>
      </c>
      <c r="AW8" s="220">
        <v>0.24</v>
      </c>
      <c r="AX8" s="220">
        <v>0.24</v>
      </c>
      <c r="BL8" s="217"/>
      <c r="BM8" s="217"/>
      <c r="BN8" s="217"/>
      <c r="BO8" s="217"/>
      <c r="BP8" s="217">
        <f t="shared" ref="BP8:BQ10" si="61">BP4/BO4-1</f>
        <v>0.20384047267355987</v>
      </c>
      <c r="BQ8" s="217">
        <f t="shared" si="61"/>
        <v>0.16308957055214734</v>
      </c>
      <c r="BR8" s="219">
        <v>0.18</v>
      </c>
      <c r="BS8" s="219">
        <v>0.17499999999999999</v>
      </c>
      <c r="BT8" s="219">
        <v>0.17</v>
      </c>
      <c r="BU8" s="219">
        <v>0.16500000000000001</v>
      </c>
      <c r="BV8" s="219">
        <v>0.16</v>
      </c>
      <c r="BW8" s="219">
        <v>0.15</v>
      </c>
      <c r="BX8" s="219">
        <v>0.14499999999999999</v>
      </c>
      <c r="BY8" s="219">
        <v>0.14000000000000001</v>
      </c>
      <c r="BZ8" s="219">
        <v>0.13500000000000001</v>
      </c>
      <c r="CA8" s="219">
        <v>0.13</v>
      </c>
    </row>
    <row r="9" spans="2:119" ht="13.5" customHeight="1">
      <c r="B9" s="239" t="s">
        <v>282</v>
      </c>
      <c r="W9" s="217"/>
      <c r="X9" s="217"/>
      <c r="Y9" s="217"/>
      <c r="Z9" s="217"/>
      <c r="AA9" s="217"/>
      <c r="AB9" s="217"/>
      <c r="AC9" s="217"/>
      <c r="AD9" s="217"/>
      <c r="AE9" s="217"/>
      <c r="AF9" s="217"/>
      <c r="AG9" s="217"/>
      <c r="AH9" s="217"/>
      <c r="AI9" s="217"/>
      <c r="AJ9" s="217"/>
      <c r="AK9" s="217"/>
      <c r="AL9" s="217"/>
      <c r="AM9" s="217">
        <f t="shared" si="60"/>
        <v>-5.208333333333337E-2</v>
      </c>
      <c r="AN9" s="217">
        <f t="shared" si="60"/>
        <v>-3.0303030303030276E-2</v>
      </c>
      <c r="AO9" s="217">
        <f t="shared" si="60"/>
        <v>5.3152173913043388E-2</v>
      </c>
      <c r="AP9" s="217">
        <f t="shared" si="60"/>
        <v>1.1808510638297909E-2</v>
      </c>
      <c r="AQ9" s="217">
        <f t="shared" si="60"/>
        <v>7.2483516483516475E-2</v>
      </c>
      <c r="AR9" s="217">
        <f t="shared" si="60"/>
        <v>0.13748958333333339</v>
      </c>
      <c r="AS9" s="217">
        <f t="shared" si="60"/>
        <v>0.22097223655692022</v>
      </c>
      <c r="AT9" s="217">
        <f t="shared" si="60"/>
        <v>0.37369361791609679</v>
      </c>
      <c r="AU9" s="268">
        <v>0.16</v>
      </c>
      <c r="AV9" s="268">
        <v>0.105</v>
      </c>
      <c r="AW9" s="220">
        <v>9.7500000000000003E-2</v>
      </c>
      <c r="AX9" s="220">
        <v>9.5000000000000001E-2</v>
      </c>
      <c r="BL9" s="217"/>
      <c r="BM9" s="217"/>
      <c r="BN9" s="217"/>
      <c r="BO9" s="217"/>
      <c r="BP9" s="217">
        <f t="shared" si="61"/>
        <v>-5.2493438320210251E-3</v>
      </c>
      <c r="BQ9" s="217">
        <f t="shared" si="61"/>
        <v>0.2024986807387863</v>
      </c>
      <c r="BR9" s="219">
        <v>0.15</v>
      </c>
      <c r="BS9" s="219">
        <v>0.14000000000000001</v>
      </c>
      <c r="BT9" s="219">
        <v>0.12</v>
      </c>
      <c r="BU9" s="219">
        <v>0.1</v>
      </c>
      <c r="BV9" s="219">
        <v>0.08</v>
      </c>
      <c r="BW9" s="219">
        <v>0.06</v>
      </c>
      <c r="BX9" s="219">
        <v>0.05</v>
      </c>
      <c r="BY9" s="219">
        <v>0.04</v>
      </c>
      <c r="BZ9" s="219">
        <v>3.5000000000000003E-2</v>
      </c>
      <c r="CA9" s="219">
        <v>0.03</v>
      </c>
    </row>
    <row r="10" spans="2:119" s="210" customFormat="1" ht="13.5" customHeight="1">
      <c r="B10" s="210" t="s">
        <v>278</v>
      </c>
      <c r="C10" s="213"/>
      <c r="D10" s="213"/>
      <c r="E10" s="213"/>
      <c r="F10" s="213"/>
      <c r="G10" s="213"/>
      <c r="H10" s="213"/>
      <c r="I10" s="213"/>
      <c r="J10" s="213"/>
      <c r="K10" s="213"/>
      <c r="L10" s="213"/>
      <c r="M10" s="213"/>
      <c r="N10" s="213"/>
      <c r="O10" s="213"/>
      <c r="P10" s="213"/>
      <c r="Q10" s="213"/>
      <c r="R10" s="213"/>
      <c r="W10" s="221"/>
      <c r="X10" s="221"/>
      <c r="Y10" s="221"/>
      <c r="Z10" s="221"/>
      <c r="AA10" s="221"/>
      <c r="AB10" s="221"/>
      <c r="AC10" s="221"/>
      <c r="AD10" s="221"/>
      <c r="AE10" s="221"/>
      <c r="AF10" s="221"/>
      <c r="AG10" s="221"/>
      <c r="AH10" s="221"/>
      <c r="AI10" s="221"/>
      <c r="AJ10" s="221"/>
      <c r="AK10" s="221"/>
      <c r="AL10" s="221"/>
      <c r="AM10" s="221">
        <f t="shared" si="60"/>
        <v>0.15767634854771795</v>
      </c>
      <c r="AN10" s="221">
        <f t="shared" si="60"/>
        <v>0.14559386973180066</v>
      </c>
      <c r="AO10" s="221">
        <f t="shared" si="60"/>
        <v>0.11029520295202944</v>
      </c>
      <c r="AP10" s="221">
        <f t="shared" si="60"/>
        <v>0.10564912280701755</v>
      </c>
      <c r="AQ10" s="221">
        <f t="shared" si="60"/>
        <v>0.16179211469534049</v>
      </c>
      <c r="AR10" s="221">
        <f t="shared" si="60"/>
        <v>0.13530100334448147</v>
      </c>
      <c r="AS10" s="221">
        <f t="shared" si="60"/>
        <v>0.17883611951211398</v>
      </c>
      <c r="AT10" s="221">
        <f t="shared" si="60"/>
        <v>0.22296975659293561</v>
      </c>
      <c r="AU10" s="269">
        <f>AU6/AQ6-1</f>
        <v>0.15616091812179911</v>
      </c>
      <c r="AV10" s="269">
        <f>AV6/AR6-1</f>
        <v>0.14903595469208009</v>
      </c>
      <c r="AW10" s="218">
        <f>AW6/AS6-1</f>
        <v>0.19247321680293217</v>
      </c>
      <c r="AX10" s="218">
        <f>AX6/AT6-1</f>
        <v>0.19084064665127021</v>
      </c>
      <c r="AY10" s="208"/>
      <c r="AZ10" s="208"/>
      <c r="BA10" s="208"/>
      <c r="BB10" s="208"/>
      <c r="BL10" s="221"/>
      <c r="BM10" s="221"/>
      <c r="BN10" s="221"/>
      <c r="BO10" s="221"/>
      <c r="BP10" s="221">
        <f t="shared" si="61"/>
        <v>0.12854442344045358</v>
      </c>
      <c r="BQ10" s="221">
        <f t="shared" si="61"/>
        <v>0.17559882747068678</v>
      </c>
      <c r="BR10" s="222">
        <f t="shared" ref="BR10:CA10" si="62">BR6/BQ6-1</f>
        <v>0.17025949211528402</v>
      </c>
      <c r="BS10" s="222">
        <f t="shared" si="62"/>
        <v>0.16383280602859673</v>
      </c>
      <c r="BT10" s="222">
        <f t="shared" si="62"/>
        <v>0.15437355181522894</v>
      </c>
      <c r="BU10" s="222">
        <f t="shared" si="62"/>
        <v>0.14529051469409571</v>
      </c>
      <c r="BV10" s="222">
        <f t="shared" si="62"/>
        <v>0.13670144776950921</v>
      </c>
      <c r="BW10" s="222">
        <f t="shared" si="62"/>
        <v>0.12509659109206472</v>
      </c>
      <c r="BX10" s="222">
        <f t="shared" si="62"/>
        <v>0.12023399524702194</v>
      </c>
      <c r="BY10" s="222">
        <f t="shared" si="62"/>
        <v>0.11556496880307909</v>
      </c>
      <c r="BZ10" s="222">
        <f t="shared" si="62"/>
        <v>0.11222012329585485</v>
      </c>
      <c r="CA10" s="222">
        <f t="shared" si="62"/>
        <v>0.108801703102688</v>
      </c>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c r="CY10" s="208"/>
      <c r="CZ10" s="208"/>
      <c r="DA10" s="208"/>
      <c r="DB10" s="208"/>
      <c r="DC10" s="208"/>
      <c r="DD10" s="208"/>
      <c r="DE10" s="208"/>
      <c r="DF10" s="208"/>
      <c r="DG10" s="208"/>
      <c r="DH10" s="208"/>
      <c r="DI10" s="208"/>
      <c r="DJ10" s="208"/>
      <c r="DK10" s="208"/>
      <c r="DL10" s="208"/>
      <c r="DM10" s="208"/>
      <c r="DN10" s="208"/>
      <c r="DO10" s="208"/>
    </row>
    <row r="11" spans="2:119" ht="13.5" customHeight="1">
      <c r="B11" s="210"/>
      <c r="AQ11" s="204"/>
      <c r="AR11" s="204"/>
      <c r="AS11" s="210"/>
      <c r="AT11" s="204"/>
    </row>
    <row r="12" spans="2:119" ht="13.5" customHeight="1">
      <c r="B12" s="239" t="s">
        <v>279</v>
      </c>
      <c r="W12" s="217"/>
      <c r="X12" s="217"/>
      <c r="Y12" s="217"/>
      <c r="Z12" s="217"/>
      <c r="AA12" s="217"/>
      <c r="AB12" s="217"/>
      <c r="AC12" s="217"/>
      <c r="AD12" s="217"/>
      <c r="AE12" s="217"/>
      <c r="AF12" s="217"/>
      <c r="AG12" s="217"/>
      <c r="AH12" s="217"/>
      <c r="AI12" s="217">
        <f t="shared" ref="AI12:AV12" si="63">AI4/AI6</f>
        <v>0.60165975103734437</v>
      </c>
      <c r="AJ12" s="217">
        <f t="shared" si="63"/>
        <v>0.62068965517241381</v>
      </c>
      <c r="AK12" s="217">
        <f t="shared" si="63"/>
        <v>0.66051660516605171</v>
      </c>
      <c r="AL12" s="217">
        <f t="shared" si="63"/>
        <v>0.6701754385964912</v>
      </c>
      <c r="AM12" s="217">
        <f t="shared" si="63"/>
        <v>0.6738351254480287</v>
      </c>
      <c r="AN12" s="217">
        <f t="shared" si="63"/>
        <v>0.67892976588628762</v>
      </c>
      <c r="AO12" s="217">
        <f t="shared" si="63"/>
        <v>0.6779886337199641</v>
      </c>
      <c r="AP12" s="217">
        <f t="shared" si="63"/>
        <v>0.69816889340230393</v>
      </c>
      <c r="AQ12" s="217">
        <f t="shared" si="63"/>
        <v>0.69890787931140874</v>
      </c>
      <c r="AR12" s="217">
        <f t="shared" si="63"/>
        <v>0.67831082175840685</v>
      </c>
      <c r="AS12" s="217">
        <f t="shared" si="63"/>
        <v>0.66647871440654083</v>
      </c>
      <c r="AT12" s="217">
        <f t="shared" si="63"/>
        <v>0.66096997690531178</v>
      </c>
      <c r="AU12" s="268">
        <f t="shared" si="63"/>
        <v>0.6775492451128462</v>
      </c>
      <c r="AV12" s="268">
        <f t="shared" si="63"/>
        <v>0.66397553109120466</v>
      </c>
      <c r="AW12" s="218">
        <f t="shared" ref="AW12:AX12" si="64">AW4/AW6</f>
        <v>0.69304165009241192</v>
      </c>
      <c r="AX12" s="218">
        <f t="shared" si="64"/>
        <v>0.68825562317457734</v>
      </c>
      <c r="BL12" s="217"/>
      <c r="BM12" s="217"/>
      <c r="BN12" s="217"/>
      <c r="BO12" s="217">
        <f>AVERAGE(AI12:AL12)</f>
        <v>0.63826036249307527</v>
      </c>
      <c r="BP12" s="217">
        <f>AVERAGE(AM12:AP12)</f>
        <v>0.68223060461414609</v>
      </c>
      <c r="BQ12" s="217">
        <f>AVERAGE(AN12:AQ12)</f>
        <v>0.68849879307999107</v>
      </c>
      <c r="BR12" s="219">
        <f t="shared" ref="BR12:CA12" si="65">BR4/BR6</f>
        <v>0.68093731510275979</v>
      </c>
      <c r="BS12" s="219">
        <f t="shared" si="65"/>
        <v>0.68747103630457673</v>
      </c>
      <c r="BT12" s="219">
        <f t="shared" si="65"/>
        <v>0.69677714913993372</v>
      </c>
      <c r="BU12" s="219">
        <f t="shared" si="65"/>
        <v>0.70876809711886768</v>
      </c>
      <c r="BV12" s="219">
        <f t="shared" si="65"/>
        <v>0.72329545657849759</v>
      </c>
      <c r="BW12" s="219">
        <f t="shared" si="65"/>
        <v>0.73930521312654851</v>
      </c>
      <c r="BX12" s="219">
        <f t="shared" si="65"/>
        <v>0.75564968803079025</v>
      </c>
      <c r="BY12" s="219">
        <f t="shared" si="65"/>
        <v>0.77220123295854726</v>
      </c>
      <c r="BZ12" s="219">
        <f t="shared" si="65"/>
        <v>0.78801703102688114</v>
      </c>
      <c r="CA12" s="219">
        <f t="shared" si="65"/>
        <v>0.80308250119806013</v>
      </c>
    </row>
    <row r="13" spans="2:119" ht="13.5" customHeight="1">
      <c r="B13" s="239" t="s">
        <v>280</v>
      </c>
      <c r="W13" s="217"/>
      <c r="X13" s="217"/>
      <c r="Y13" s="217"/>
      <c r="Z13" s="217"/>
      <c r="AA13" s="217"/>
      <c r="AB13" s="217"/>
      <c r="AC13" s="217"/>
      <c r="AD13" s="217"/>
      <c r="AE13" s="217"/>
      <c r="AF13" s="217"/>
      <c r="AG13" s="217"/>
      <c r="AH13" s="217"/>
      <c r="AI13" s="217">
        <f t="shared" ref="AI13:AV13" si="66">AI5/AI6</f>
        <v>0.39834024896265557</v>
      </c>
      <c r="AJ13" s="217">
        <f t="shared" si="66"/>
        <v>0.37931034482758619</v>
      </c>
      <c r="AK13" s="217">
        <f t="shared" si="66"/>
        <v>0.33948339483394835</v>
      </c>
      <c r="AL13" s="217">
        <f t="shared" si="66"/>
        <v>0.3298245614035088</v>
      </c>
      <c r="AM13" s="217">
        <f t="shared" si="66"/>
        <v>0.32616487455197135</v>
      </c>
      <c r="AN13" s="217">
        <f t="shared" si="66"/>
        <v>0.32107023411371238</v>
      </c>
      <c r="AO13" s="217">
        <f t="shared" si="66"/>
        <v>0.3220113662800359</v>
      </c>
      <c r="AP13" s="217">
        <f t="shared" si="66"/>
        <v>0.30183110659769607</v>
      </c>
      <c r="AQ13" s="217">
        <f t="shared" si="66"/>
        <v>0.30109212068859137</v>
      </c>
      <c r="AR13" s="217">
        <f t="shared" si="66"/>
        <v>0.32168917824159315</v>
      </c>
      <c r="AS13" s="217">
        <f t="shared" si="66"/>
        <v>0.33352128559345928</v>
      </c>
      <c r="AT13" s="217">
        <f t="shared" si="66"/>
        <v>0.33903002309468822</v>
      </c>
      <c r="AU13" s="268">
        <f t="shared" si="66"/>
        <v>0.32245075488715386</v>
      </c>
      <c r="AV13" s="268">
        <f t="shared" si="66"/>
        <v>0.33602446890879539</v>
      </c>
      <c r="AW13" s="218">
        <f t="shared" ref="AW13:AX13" si="67">AW5/AW6</f>
        <v>0.30695834990758802</v>
      </c>
      <c r="AX13" s="218">
        <f t="shared" si="67"/>
        <v>0.31174437682542272</v>
      </c>
      <c r="BL13" s="217"/>
      <c r="BM13" s="217"/>
      <c r="BN13" s="217"/>
      <c r="BO13" s="217">
        <f>AVERAGE(AI13:AL13)</f>
        <v>0.36173963750692473</v>
      </c>
      <c r="BP13" s="217">
        <f>AVERAGE(AM13:AP13)</f>
        <v>0.31776939538585391</v>
      </c>
      <c r="BQ13" s="217">
        <f>AVERAGE(AN13:AQ13)</f>
        <v>0.31150120692000893</v>
      </c>
      <c r="BR13" s="219">
        <f t="shared" ref="BR13:CA13" si="68">BR5/BR6</f>
        <v>0.31906268489724021</v>
      </c>
      <c r="BS13" s="219">
        <f t="shared" si="68"/>
        <v>0.31252896369542327</v>
      </c>
      <c r="BT13" s="219">
        <f t="shared" si="68"/>
        <v>0.30322285086006623</v>
      </c>
      <c r="BU13" s="219">
        <f t="shared" si="68"/>
        <v>0.29123190288113227</v>
      </c>
      <c r="BV13" s="219">
        <f t="shared" si="68"/>
        <v>0.27670454342150247</v>
      </c>
      <c r="BW13" s="219">
        <f t="shared" si="68"/>
        <v>0.26069478687345149</v>
      </c>
      <c r="BX13" s="219">
        <f t="shared" si="68"/>
        <v>0.24435031196920975</v>
      </c>
      <c r="BY13" s="219">
        <f t="shared" si="68"/>
        <v>0.22779876704145277</v>
      </c>
      <c r="BZ13" s="219">
        <f t="shared" si="68"/>
        <v>0.21198296897311886</v>
      </c>
      <c r="CA13" s="219">
        <f t="shared" si="68"/>
        <v>0.19691749880193984</v>
      </c>
    </row>
    <row r="14" spans="2:119" ht="13.5" customHeight="1">
      <c r="B14" s="216"/>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0"/>
      <c r="AT14" s="217"/>
      <c r="BL14" s="217"/>
      <c r="BM14" s="217"/>
      <c r="BN14" s="217"/>
      <c r="BO14" s="217"/>
      <c r="BP14" s="217"/>
      <c r="BQ14" s="217"/>
    </row>
    <row r="15" spans="2:119" ht="13.5" customHeight="1">
      <c r="B15" s="239" t="s">
        <v>276</v>
      </c>
      <c r="S15" s="211">
        <v>82.510999999999996</v>
      </c>
      <c r="T15" s="211">
        <v>86.373999999999995</v>
      </c>
      <c r="U15" s="211">
        <v>90.272000000000006</v>
      </c>
      <c r="V15" s="211">
        <f>355.22-SUM(S15:U15)</f>
        <v>96.063000000000045</v>
      </c>
      <c r="W15" s="204">
        <v>96</v>
      </c>
      <c r="X15" s="204">
        <v>78</v>
      </c>
      <c r="Y15" s="204">
        <v>110</v>
      </c>
      <c r="Z15" s="211">
        <f>400-SUM(W15:Y15)</f>
        <v>116</v>
      </c>
      <c r="AA15" s="204">
        <v>120</v>
      </c>
      <c r="AB15" s="204">
        <v>128</v>
      </c>
      <c r="AC15" s="204">
        <v>135</v>
      </c>
      <c r="AD15" s="211">
        <f>528-SUM(AA15:AC15)</f>
        <v>145</v>
      </c>
      <c r="AE15" s="204">
        <v>144</v>
      </c>
      <c r="AF15" s="204">
        <v>141</v>
      </c>
      <c r="AG15" s="204">
        <v>149</v>
      </c>
      <c r="AH15" s="211">
        <f>592-SUM(AE15:AG15)</f>
        <v>158</v>
      </c>
      <c r="AI15" s="204">
        <v>172</v>
      </c>
      <c r="AJ15" s="204">
        <v>186</v>
      </c>
      <c r="AK15" s="204">
        <v>195</v>
      </c>
      <c r="AL15" s="211">
        <f>757-SUM(AI15:AK15)</f>
        <v>204</v>
      </c>
      <c r="AM15" s="204">
        <v>210</v>
      </c>
      <c r="AN15" s="204">
        <v>218</v>
      </c>
      <c r="AO15" s="204">
        <v>226</v>
      </c>
      <c r="AP15" s="211">
        <f>902-SUM(AM15:AO15)</f>
        <v>248</v>
      </c>
      <c r="AQ15" s="211">
        <v>256.86</v>
      </c>
      <c r="AR15" s="211">
        <v>260.81799999999998</v>
      </c>
      <c r="AS15" s="211">
        <v>275.029</v>
      </c>
      <c r="AT15" s="211">
        <f>1091.761-SUM(AQ15:AS15)</f>
        <v>299.05399999999997</v>
      </c>
      <c r="AU15" s="211">
        <v>296.387</v>
      </c>
      <c r="AV15" s="211">
        <v>305.44499999999999</v>
      </c>
      <c r="BK15" s="223">
        <f>SUM(S15:V15)</f>
        <v>355.22</v>
      </c>
      <c r="BL15" s="204">
        <f>SUM(W15:Z15)</f>
        <v>400</v>
      </c>
      <c r="BM15" s="204">
        <f>SUM(AA15:AC15)</f>
        <v>383</v>
      </c>
      <c r="BN15" s="204">
        <f>SUM(AE15:AG15)</f>
        <v>434</v>
      </c>
      <c r="BO15" s="204">
        <f>SUM(AI15:AL15)</f>
        <v>757</v>
      </c>
      <c r="BP15" s="204">
        <f>SUM(AM15:AP15)</f>
        <v>902</v>
      </c>
      <c r="BQ15" s="211">
        <f>SUM(AQ15:AT15)</f>
        <v>1091.761</v>
      </c>
    </row>
    <row r="16" spans="2:119" ht="13.5" customHeight="1">
      <c r="B16" s="239" t="s">
        <v>277</v>
      </c>
      <c r="S16" s="211">
        <f>9.522+36.406</f>
        <v>45.927999999999997</v>
      </c>
      <c r="T16" s="211">
        <f>12.231+35.596</f>
        <v>47.826999999999998</v>
      </c>
      <c r="U16" s="211">
        <f>11.214+38.016</f>
        <v>49.23</v>
      </c>
      <c r="V16" s="211">
        <f>42.52+149.663-SUM(S16:U16)</f>
        <v>49.198000000000036</v>
      </c>
      <c r="W16" s="204">
        <v>41</v>
      </c>
      <c r="X16" s="204">
        <v>27</v>
      </c>
      <c r="Y16" s="204">
        <v>41</v>
      </c>
      <c r="Z16" s="211">
        <f>160-SUM(W16:Y16)</f>
        <v>51</v>
      </c>
      <c r="AA16" s="204">
        <v>49</v>
      </c>
      <c r="AB16" s="204">
        <v>56</v>
      </c>
      <c r="AC16" s="204">
        <v>55</v>
      </c>
      <c r="AD16" s="211">
        <f>220-SUM(AA16:AC16)</f>
        <v>60</v>
      </c>
      <c r="AE16" s="204">
        <v>60</v>
      </c>
      <c r="AF16" s="204">
        <v>67</v>
      </c>
      <c r="AG16" s="204">
        <v>65</v>
      </c>
      <c r="AH16" s="211">
        <f>255-SUM(AE16:AG16)</f>
        <v>63</v>
      </c>
      <c r="AI16" s="204">
        <v>69</v>
      </c>
      <c r="AJ16" s="204">
        <v>75</v>
      </c>
      <c r="AK16" s="204">
        <v>76</v>
      </c>
      <c r="AL16" s="211">
        <f>301-SUM(AI16:AK16)</f>
        <v>81</v>
      </c>
      <c r="AM16" s="204">
        <v>69</v>
      </c>
      <c r="AN16" s="204">
        <v>81</v>
      </c>
      <c r="AO16" s="204">
        <v>77</v>
      </c>
      <c r="AP16" s="211">
        <f>292-SUM(AM16:AO16)</f>
        <v>65</v>
      </c>
      <c r="AQ16" s="211">
        <v>67.28</v>
      </c>
      <c r="AR16" s="211">
        <v>78.637</v>
      </c>
      <c r="AS16" s="211">
        <v>79.656000000000006</v>
      </c>
      <c r="AT16" s="211">
        <f>311.904-SUM(AQ16:AS16)</f>
        <v>86.330999999999989</v>
      </c>
      <c r="AU16" s="211">
        <v>78.370999999999995</v>
      </c>
      <c r="AV16" s="211">
        <v>84.600999999999999</v>
      </c>
      <c r="BK16" s="223">
        <f>SUM(S16:V16)</f>
        <v>192.18300000000002</v>
      </c>
      <c r="BL16" s="204">
        <f>SUM(W16:Z16)</f>
        <v>160</v>
      </c>
      <c r="BM16" s="204">
        <f>SUM(AA16:AC16)</f>
        <v>160</v>
      </c>
      <c r="BN16" s="204">
        <f>SUM(AE16:AG16)</f>
        <v>192</v>
      </c>
      <c r="BO16" s="204">
        <f>SUM(AI16:AL16)</f>
        <v>301</v>
      </c>
      <c r="BP16" s="204">
        <f>SUM(AM16:AP16)</f>
        <v>292</v>
      </c>
      <c r="BQ16" s="211">
        <f>SUM(AQ16:AT16)</f>
        <v>311.904</v>
      </c>
    </row>
    <row r="17" spans="2:119" s="210" customFormat="1" ht="13.5" customHeight="1">
      <c r="B17" s="210" t="s">
        <v>275</v>
      </c>
      <c r="C17" s="213"/>
      <c r="D17" s="213"/>
      <c r="E17" s="213"/>
      <c r="F17" s="213"/>
      <c r="G17" s="213"/>
      <c r="H17" s="213"/>
      <c r="I17" s="213"/>
      <c r="J17" s="213"/>
      <c r="K17" s="213"/>
      <c r="L17" s="213"/>
      <c r="M17" s="213"/>
      <c r="N17" s="213"/>
      <c r="O17" s="213"/>
      <c r="P17" s="213"/>
      <c r="Q17" s="213"/>
      <c r="R17" s="213"/>
      <c r="S17" s="214">
        <f t="shared" ref="S17:AN17" si="69">SUM(S15:S16)</f>
        <v>128.43899999999999</v>
      </c>
      <c r="T17" s="214">
        <f t="shared" si="69"/>
        <v>134.20099999999999</v>
      </c>
      <c r="U17" s="214">
        <f t="shared" si="69"/>
        <v>139.50200000000001</v>
      </c>
      <c r="V17" s="214">
        <f t="shared" si="69"/>
        <v>145.26100000000008</v>
      </c>
      <c r="W17" s="210">
        <f t="shared" si="69"/>
        <v>137</v>
      </c>
      <c r="X17" s="210">
        <f t="shared" si="69"/>
        <v>105</v>
      </c>
      <c r="Y17" s="210">
        <f t="shared" si="69"/>
        <v>151</v>
      </c>
      <c r="Z17" s="210">
        <f t="shared" si="69"/>
        <v>167</v>
      </c>
      <c r="AA17" s="210">
        <f t="shared" si="69"/>
        <v>169</v>
      </c>
      <c r="AB17" s="210">
        <f t="shared" si="69"/>
        <v>184</v>
      </c>
      <c r="AC17" s="210">
        <f t="shared" si="69"/>
        <v>190</v>
      </c>
      <c r="AD17" s="210">
        <f t="shared" si="69"/>
        <v>205</v>
      </c>
      <c r="AE17" s="210">
        <f t="shared" si="69"/>
        <v>204</v>
      </c>
      <c r="AF17" s="210">
        <f t="shared" si="69"/>
        <v>208</v>
      </c>
      <c r="AG17" s="210">
        <f t="shared" si="69"/>
        <v>214</v>
      </c>
      <c r="AH17" s="210">
        <f t="shared" si="69"/>
        <v>221</v>
      </c>
      <c r="AI17" s="210">
        <f t="shared" si="69"/>
        <v>241</v>
      </c>
      <c r="AJ17" s="210">
        <f t="shared" si="69"/>
        <v>261</v>
      </c>
      <c r="AK17" s="210">
        <f t="shared" si="69"/>
        <v>271</v>
      </c>
      <c r="AL17" s="210">
        <f t="shared" si="69"/>
        <v>285</v>
      </c>
      <c r="AM17" s="210">
        <f t="shared" si="69"/>
        <v>279</v>
      </c>
      <c r="AN17" s="210">
        <f t="shared" si="69"/>
        <v>299</v>
      </c>
      <c r="AO17" s="210">
        <f t="shared" ref="AO17:AT17" si="70">SUM(AO15:AO16)</f>
        <v>303</v>
      </c>
      <c r="AP17" s="210">
        <f t="shared" si="70"/>
        <v>313</v>
      </c>
      <c r="AQ17" s="214">
        <f t="shared" si="70"/>
        <v>324.14</v>
      </c>
      <c r="AR17" s="214">
        <f t="shared" si="70"/>
        <v>339.45499999999998</v>
      </c>
      <c r="AS17" s="214">
        <f t="shared" si="70"/>
        <v>354.685</v>
      </c>
      <c r="AT17" s="214">
        <f t="shared" si="70"/>
        <v>385.38499999999999</v>
      </c>
      <c r="AU17" s="214">
        <f t="shared" ref="AU17:AV17" si="71">SUM(AU15:AU16)</f>
        <v>374.75799999999998</v>
      </c>
      <c r="AV17" s="214">
        <f t="shared" si="71"/>
        <v>390.04599999999999</v>
      </c>
      <c r="AW17" s="208"/>
      <c r="AX17" s="208"/>
      <c r="AY17" s="208"/>
      <c r="AZ17" s="208"/>
      <c r="BA17" s="208"/>
      <c r="BB17" s="208"/>
      <c r="BK17" s="214">
        <f>SUM(S17:V17)</f>
        <v>547.40300000000002</v>
      </c>
      <c r="BL17" s="214">
        <f>SUM(W17:Z17)</f>
        <v>560</v>
      </c>
      <c r="BM17" s="214">
        <f>SUM(AA17:AD17)</f>
        <v>748</v>
      </c>
      <c r="BN17" s="214">
        <f>SUM(AE17:AH17)</f>
        <v>847</v>
      </c>
      <c r="BO17" s="214">
        <f>SUM(AI17:AL17)</f>
        <v>1058</v>
      </c>
      <c r="BP17" s="214">
        <f>SUM(AM17:AP17)</f>
        <v>1194</v>
      </c>
      <c r="BQ17" s="214">
        <f>SUM(AQ17:AT17)</f>
        <v>1403.665</v>
      </c>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c r="CY17" s="208"/>
      <c r="CZ17" s="208"/>
      <c r="DA17" s="208"/>
      <c r="DB17" s="208"/>
      <c r="DC17" s="208"/>
      <c r="DD17" s="208"/>
      <c r="DE17" s="208"/>
      <c r="DF17" s="208"/>
      <c r="DG17" s="208"/>
      <c r="DH17" s="208"/>
      <c r="DI17" s="208"/>
      <c r="DJ17" s="208"/>
      <c r="DK17" s="208"/>
      <c r="DL17" s="208"/>
      <c r="DM17" s="208"/>
      <c r="DN17" s="208"/>
      <c r="DO17" s="208"/>
    </row>
    <row r="18" spans="2:119" ht="13.5" customHeight="1">
      <c r="B18" s="239"/>
      <c r="AQ18" s="204"/>
      <c r="AR18" s="204"/>
      <c r="AS18" s="210"/>
      <c r="AT18" s="204"/>
      <c r="AU18" s="204"/>
      <c r="AV18" s="204"/>
    </row>
    <row r="19" spans="2:119" ht="13.5" customHeight="1">
      <c r="B19" s="239" t="s">
        <v>285</v>
      </c>
      <c r="S19" s="217"/>
      <c r="T19" s="217"/>
      <c r="U19" s="217"/>
      <c r="V19" s="217"/>
      <c r="W19" s="217">
        <f t="shared" ref="W19:AV21" si="72">W15/S15-1</f>
        <v>0.16348123280532301</v>
      </c>
      <c r="X19" s="217">
        <f t="shared" si="72"/>
        <v>-9.6950471206613043E-2</v>
      </c>
      <c r="Y19" s="217">
        <f t="shared" si="72"/>
        <v>0.21853952499113771</v>
      </c>
      <c r="Z19" s="217">
        <f t="shared" si="72"/>
        <v>0.20754088462779574</v>
      </c>
      <c r="AA19" s="217">
        <f t="shared" si="72"/>
        <v>0.25</v>
      </c>
      <c r="AB19" s="217">
        <f t="shared" si="72"/>
        <v>0.64102564102564097</v>
      </c>
      <c r="AC19" s="217">
        <f t="shared" si="72"/>
        <v>0.22727272727272729</v>
      </c>
      <c r="AD19" s="217">
        <f t="shared" si="72"/>
        <v>0.25</v>
      </c>
      <c r="AE19" s="217">
        <f t="shared" si="72"/>
        <v>0.19999999999999996</v>
      </c>
      <c r="AF19" s="217">
        <f t="shared" si="72"/>
        <v>0.1015625</v>
      </c>
      <c r="AG19" s="217">
        <f t="shared" si="72"/>
        <v>0.10370370370370363</v>
      </c>
      <c r="AH19" s="217">
        <f t="shared" si="72"/>
        <v>8.9655172413793061E-2</v>
      </c>
      <c r="AI19" s="217">
        <f t="shared" si="72"/>
        <v>0.19444444444444442</v>
      </c>
      <c r="AJ19" s="217">
        <f t="shared" si="72"/>
        <v>0.31914893617021267</v>
      </c>
      <c r="AK19" s="217">
        <f t="shared" si="72"/>
        <v>0.3087248322147651</v>
      </c>
      <c r="AL19" s="217">
        <f t="shared" si="72"/>
        <v>0.29113924050632911</v>
      </c>
      <c r="AM19" s="217">
        <f t="shared" si="72"/>
        <v>0.22093023255813948</v>
      </c>
      <c r="AN19" s="217">
        <f t="shared" si="72"/>
        <v>0.17204301075268824</v>
      </c>
      <c r="AO19" s="217">
        <f t="shared" si="72"/>
        <v>0.15897435897435908</v>
      </c>
      <c r="AP19" s="217">
        <f t="shared" si="72"/>
        <v>0.21568627450980382</v>
      </c>
      <c r="AQ19" s="217">
        <f t="shared" si="72"/>
        <v>0.22314285714285731</v>
      </c>
      <c r="AR19" s="217">
        <f t="shared" si="72"/>
        <v>0.19641284403669723</v>
      </c>
      <c r="AS19" s="217">
        <f t="shared" si="72"/>
        <v>0.21694247787610621</v>
      </c>
      <c r="AT19" s="217">
        <f t="shared" si="72"/>
        <v>0.20586290322580636</v>
      </c>
      <c r="AU19" s="217">
        <f t="shared" si="72"/>
        <v>0.1538853850346491</v>
      </c>
      <c r="AV19" s="217">
        <f t="shared" si="72"/>
        <v>0.17110398822167183</v>
      </c>
      <c r="BK19" s="217"/>
      <c r="BL19" s="217">
        <f t="shared" ref="BL19:BQ21" si="73">BL15/BK15-1</f>
        <v>0.12606272169359833</v>
      </c>
      <c r="BM19" s="217">
        <f t="shared" si="73"/>
        <v>-4.2499999999999982E-2</v>
      </c>
      <c r="BN19" s="217">
        <f t="shared" si="73"/>
        <v>0.13315926892950403</v>
      </c>
      <c r="BO19" s="217">
        <f t="shared" si="73"/>
        <v>0.74423963133640547</v>
      </c>
      <c r="BP19" s="217">
        <f t="shared" si="73"/>
        <v>0.19154557463672384</v>
      </c>
      <c r="BQ19" s="217">
        <f t="shared" si="73"/>
        <v>0.21037804878048783</v>
      </c>
    </row>
    <row r="20" spans="2:119" ht="13.5" customHeight="1">
      <c r="B20" s="239" t="s">
        <v>286</v>
      </c>
      <c r="S20" s="217"/>
      <c r="T20" s="217"/>
      <c r="U20" s="217"/>
      <c r="V20" s="217"/>
      <c r="W20" s="217">
        <f t="shared" si="72"/>
        <v>-0.10729838007315795</v>
      </c>
      <c r="X20" s="217">
        <f t="shared" si="72"/>
        <v>-0.43546532293474394</v>
      </c>
      <c r="Y20" s="217">
        <f t="shared" si="72"/>
        <v>-0.16717448710136096</v>
      </c>
      <c r="Z20" s="217">
        <f t="shared" si="72"/>
        <v>3.6627505183136844E-2</v>
      </c>
      <c r="AA20" s="217">
        <f t="shared" si="72"/>
        <v>0.19512195121951215</v>
      </c>
      <c r="AB20" s="217">
        <f t="shared" si="72"/>
        <v>1.074074074074074</v>
      </c>
      <c r="AC20" s="217">
        <f t="shared" si="72"/>
        <v>0.34146341463414642</v>
      </c>
      <c r="AD20" s="217">
        <f t="shared" si="72"/>
        <v>0.17647058823529416</v>
      </c>
      <c r="AE20" s="217">
        <f t="shared" si="72"/>
        <v>0.22448979591836737</v>
      </c>
      <c r="AF20" s="217">
        <f t="shared" si="72"/>
        <v>0.1964285714285714</v>
      </c>
      <c r="AG20" s="217">
        <f t="shared" si="72"/>
        <v>0.18181818181818188</v>
      </c>
      <c r="AH20" s="217">
        <f t="shared" si="72"/>
        <v>5.0000000000000044E-2</v>
      </c>
      <c r="AI20" s="217">
        <f t="shared" si="72"/>
        <v>0.14999999999999991</v>
      </c>
      <c r="AJ20" s="217">
        <f t="shared" si="72"/>
        <v>0.11940298507462677</v>
      </c>
      <c r="AK20" s="217">
        <f t="shared" si="72"/>
        <v>0.1692307692307693</v>
      </c>
      <c r="AL20" s="217">
        <f t="shared" si="72"/>
        <v>0.28571428571428581</v>
      </c>
      <c r="AM20" s="217">
        <f t="shared" si="72"/>
        <v>0</v>
      </c>
      <c r="AN20" s="217">
        <f t="shared" si="72"/>
        <v>8.0000000000000071E-2</v>
      </c>
      <c r="AO20" s="217">
        <f t="shared" si="72"/>
        <v>1.3157894736842035E-2</v>
      </c>
      <c r="AP20" s="217">
        <f t="shared" si="72"/>
        <v>-0.19753086419753085</v>
      </c>
      <c r="AQ20" s="217">
        <f t="shared" si="72"/>
        <v>-2.492753623188404E-2</v>
      </c>
      <c r="AR20" s="217">
        <f t="shared" si="72"/>
        <v>-2.9172839506172887E-2</v>
      </c>
      <c r="AS20" s="217">
        <f t="shared" si="72"/>
        <v>3.4493506493506576E-2</v>
      </c>
      <c r="AT20" s="217">
        <f t="shared" si="72"/>
        <v>0.32816923076923055</v>
      </c>
      <c r="AU20" s="217">
        <f t="shared" si="72"/>
        <v>0.16484839476813318</v>
      </c>
      <c r="AV20" s="217">
        <f t="shared" si="72"/>
        <v>7.5842160814883597E-2</v>
      </c>
      <c r="BK20" s="217"/>
      <c r="BL20" s="217">
        <f t="shared" si="73"/>
        <v>-0.16746018118147821</v>
      </c>
      <c r="BM20" s="217">
        <f t="shared" si="73"/>
        <v>0</v>
      </c>
      <c r="BN20" s="217">
        <f t="shared" si="73"/>
        <v>0.19999999999999996</v>
      </c>
      <c r="BO20" s="217">
        <f t="shared" si="73"/>
        <v>0.56770833333333326</v>
      </c>
      <c r="BP20" s="217">
        <f t="shared" si="73"/>
        <v>-2.9900332225913595E-2</v>
      </c>
      <c r="BQ20" s="217">
        <f t="shared" si="73"/>
        <v>6.8164383561643893E-2</v>
      </c>
    </row>
    <row r="21" spans="2:119" ht="13.5" customHeight="1">
      <c r="B21" s="204" t="s">
        <v>278</v>
      </c>
      <c r="S21" s="217"/>
      <c r="T21" s="217"/>
      <c r="U21" s="217"/>
      <c r="V21" s="217"/>
      <c r="W21" s="217">
        <f t="shared" si="72"/>
        <v>6.6654209391228569E-2</v>
      </c>
      <c r="X21" s="217">
        <f t="shared" si="72"/>
        <v>-0.21759152316301666</v>
      </c>
      <c r="Y21" s="217">
        <f t="shared" si="72"/>
        <v>8.2421757394159245E-2</v>
      </c>
      <c r="Z21" s="217">
        <f t="shared" si="72"/>
        <v>0.14965475936417838</v>
      </c>
      <c r="AA21" s="217">
        <f t="shared" si="72"/>
        <v>0.23357664233576636</v>
      </c>
      <c r="AB21" s="217">
        <f t="shared" si="72"/>
        <v>0.75238095238095237</v>
      </c>
      <c r="AC21" s="217">
        <f t="shared" si="72"/>
        <v>0.25827814569536423</v>
      </c>
      <c r="AD21" s="217">
        <f t="shared" si="72"/>
        <v>0.22754491017964074</v>
      </c>
      <c r="AE21" s="217">
        <f t="shared" si="72"/>
        <v>0.20710059171597628</v>
      </c>
      <c r="AF21" s="217">
        <f t="shared" si="72"/>
        <v>0.13043478260869557</v>
      </c>
      <c r="AG21" s="217">
        <f t="shared" si="72"/>
        <v>0.12631578947368416</v>
      </c>
      <c r="AH21" s="217">
        <f t="shared" si="72"/>
        <v>7.8048780487804947E-2</v>
      </c>
      <c r="AI21" s="217">
        <f t="shared" si="72"/>
        <v>0.18137254901960786</v>
      </c>
      <c r="AJ21" s="217">
        <f t="shared" si="72"/>
        <v>0.25480769230769229</v>
      </c>
      <c r="AK21" s="217">
        <f t="shared" si="72"/>
        <v>0.26635514018691597</v>
      </c>
      <c r="AL21" s="217">
        <f t="shared" si="72"/>
        <v>0.28959276018099556</v>
      </c>
      <c r="AM21" s="217">
        <f t="shared" si="72"/>
        <v>0.15767634854771795</v>
      </c>
      <c r="AN21" s="217">
        <f t="shared" si="72"/>
        <v>0.14559386973180066</v>
      </c>
      <c r="AO21" s="217">
        <f t="shared" si="72"/>
        <v>0.11808118081180807</v>
      </c>
      <c r="AP21" s="217">
        <f t="shared" si="72"/>
        <v>9.8245614035087803E-2</v>
      </c>
      <c r="AQ21" s="217">
        <f t="shared" si="72"/>
        <v>0.16179211469534049</v>
      </c>
      <c r="AR21" s="217">
        <f t="shared" si="72"/>
        <v>0.13530100334448147</v>
      </c>
      <c r="AS21" s="217">
        <f t="shared" si="72"/>
        <v>0.17057755775577554</v>
      </c>
      <c r="AT21" s="217">
        <f t="shared" si="72"/>
        <v>0.23126198083067084</v>
      </c>
      <c r="AU21" s="217">
        <f t="shared" si="72"/>
        <v>0.15616091812179911</v>
      </c>
      <c r="AV21" s="217">
        <f t="shared" si="72"/>
        <v>0.14903595469208009</v>
      </c>
      <c r="BK21" s="217"/>
      <c r="BL21" s="217">
        <f t="shared" si="73"/>
        <v>2.3012296242439279E-2</v>
      </c>
      <c r="BM21" s="217">
        <f t="shared" si="73"/>
        <v>0.33571428571428563</v>
      </c>
      <c r="BN21" s="217">
        <f t="shared" si="73"/>
        <v>0.13235294117647056</v>
      </c>
      <c r="BO21" s="217">
        <f t="shared" si="73"/>
        <v>0.2491145218417945</v>
      </c>
      <c r="BP21" s="217">
        <f t="shared" si="73"/>
        <v>0.12854442344045358</v>
      </c>
      <c r="BQ21" s="217">
        <f t="shared" si="73"/>
        <v>0.17559882747068678</v>
      </c>
    </row>
    <row r="22" spans="2:119" ht="13.5" customHeight="1">
      <c r="AQ22" s="204"/>
      <c r="AR22" s="204"/>
      <c r="AS22" s="210"/>
      <c r="AT22" s="204"/>
      <c r="AU22" s="204"/>
      <c r="AV22" s="204"/>
    </row>
    <row r="23" spans="2:119" ht="13.5" customHeight="1">
      <c r="B23" s="239" t="s">
        <v>283</v>
      </c>
      <c r="S23" s="217">
        <f t="shared" ref="S23:AV23" si="74">S15/S17</f>
        <v>0.64241390854802671</v>
      </c>
      <c r="T23" s="217">
        <f t="shared" si="74"/>
        <v>0.64361666455540567</v>
      </c>
      <c r="U23" s="217">
        <f t="shared" si="74"/>
        <v>0.64710183366546714</v>
      </c>
      <c r="V23" s="217">
        <f t="shared" si="74"/>
        <v>0.66131308472335992</v>
      </c>
      <c r="W23" s="217">
        <f t="shared" si="74"/>
        <v>0.7007299270072993</v>
      </c>
      <c r="X23" s="217">
        <f t="shared" si="74"/>
        <v>0.74285714285714288</v>
      </c>
      <c r="Y23" s="217">
        <f t="shared" si="74"/>
        <v>0.72847682119205293</v>
      </c>
      <c r="Z23" s="217">
        <f t="shared" si="74"/>
        <v>0.69461077844311381</v>
      </c>
      <c r="AA23" s="217">
        <f t="shared" si="74"/>
        <v>0.7100591715976331</v>
      </c>
      <c r="AB23" s="217">
        <f t="shared" si="74"/>
        <v>0.69565217391304346</v>
      </c>
      <c r="AC23" s="217">
        <f t="shared" si="74"/>
        <v>0.71052631578947367</v>
      </c>
      <c r="AD23" s="217">
        <f t="shared" si="74"/>
        <v>0.70731707317073167</v>
      </c>
      <c r="AE23" s="217">
        <f t="shared" si="74"/>
        <v>0.70588235294117652</v>
      </c>
      <c r="AF23" s="217">
        <f t="shared" si="74"/>
        <v>0.67788461538461542</v>
      </c>
      <c r="AG23" s="217">
        <f t="shared" si="74"/>
        <v>0.69626168224299068</v>
      </c>
      <c r="AH23" s="217">
        <f t="shared" si="74"/>
        <v>0.71493212669683259</v>
      </c>
      <c r="AI23" s="217">
        <f t="shared" si="74"/>
        <v>0.7136929460580913</v>
      </c>
      <c r="AJ23" s="217">
        <f t="shared" si="74"/>
        <v>0.71264367816091956</v>
      </c>
      <c r="AK23" s="217">
        <f t="shared" si="74"/>
        <v>0.71955719557195574</v>
      </c>
      <c r="AL23" s="217">
        <f t="shared" si="74"/>
        <v>0.71578947368421053</v>
      </c>
      <c r="AM23" s="217">
        <f t="shared" si="74"/>
        <v>0.75268817204301075</v>
      </c>
      <c r="AN23" s="217">
        <f t="shared" si="74"/>
        <v>0.72909698996655514</v>
      </c>
      <c r="AO23" s="217">
        <f t="shared" si="74"/>
        <v>0.74587458745874591</v>
      </c>
      <c r="AP23" s="217">
        <f t="shared" si="74"/>
        <v>0.792332268370607</v>
      </c>
      <c r="AQ23" s="217">
        <f t="shared" si="74"/>
        <v>0.79243536743382492</v>
      </c>
      <c r="AR23" s="217">
        <f t="shared" si="74"/>
        <v>0.7683433739376353</v>
      </c>
      <c r="AS23" s="217">
        <f t="shared" si="74"/>
        <v>0.7754176240889803</v>
      </c>
      <c r="AT23" s="217">
        <f t="shared" si="74"/>
        <v>0.77598764871492143</v>
      </c>
      <c r="AU23" s="217">
        <f t="shared" si="74"/>
        <v>0.79087571179267691</v>
      </c>
      <c r="AV23" s="217">
        <f t="shared" si="74"/>
        <v>0.78309994205811617</v>
      </c>
      <c r="BK23" s="217">
        <f t="shared" ref="BK23:BQ23" si="75">BK15/BK17</f>
        <v>0.64891862119864163</v>
      </c>
      <c r="BL23" s="217">
        <f t="shared" si="75"/>
        <v>0.7142857142857143</v>
      </c>
      <c r="BM23" s="217">
        <f t="shared" si="75"/>
        <v>0.51203208556149737</v>
      </c>
      <c r="BN23" s="217">
        <f t="shared" si="75"/>
        <v>0.51239669421487599</v>
      </c>
      <c r="BO23" s="217">
        <f t="shared" si="75"/>
        <v>0.71550094517958407</v>
      </c>
      <c r="BP23" s="217">
        <f t="shared" si="75"/>
        <v>0.75544388609715241</v>
      </c>
      <c r="BQ23" s="217">
        <f t="shared" si="75"/>
        <v>0.77779313440172693</v>
      </c>
    </row>
    <row r="24" spans="2:119" ht="13.5" customHeight="1">
      <c r="B24" s="239" t="s">
        <v>284</v>
      </c>
      <c r="S24" s="217">
        <f t="shared" ref="S24:AV24" si="76">S16/S17</f>
        <v>0.35758609145197329</v>
      </c>
      <c r="T24" s="217">
        <f t="shared" si="76"/>
        <v>0.35638333544459433</v>
      </c>
      <c r="U24" s="217">
        <f t="shared" si="76"/>
        <v>0.3528981663345328</v>
      </c>
      <c r="V24" s="217">
        <f t="shared" si="76"/>
        <v>0.33868691527664002</v>
      </c>
      <c r="W24" s="217">
        <f t="shared" si="76"/>
        <v>0.29927007299270075</v>
      </c>
      <c r="X24" s="217">
        <f t="shared" si="76"/>
        <v>0.25714285714285712</v>
      </c>
      <c r="Y24" s="217">
        <f t="shared" si="76"/>
        <v>0.27152317880794702</v>
      </c>
      <c r="Z24" s="217">
        <f t="shared" si="76"/>
        <v>0.30538922155688625</v>
      </c>
      <c r="AA24" s="217">
        <f t="shared" si="76"/>
        <v>0.28994082840236685</v>
      </c>
      <c r="AB24" s="217">
        <f t="shared" si="76"/>
        <v>0.30434782608695654</v>
      </c>
      <c r="AC24" s="217">
        <f t="shared" si="76"/>
        <v>0.28947368421052633</v>
      </c>
      <c r="AD24" s="217">
        <f t="shared" si="76"/>
        <v>0.29268292682926828</v>
      </c>
      <c r="AE24" s="217">
        <f t="shared" si="76"/>
        <v>0.29411764705882354</v>
      </c>
      <c r="AF24" s="217">
        <f t="shared" si="76"/>
        <v>0.32211538461538464</v>
      </c>
      <c r="AG24" s="217">
        <f t="shared" si="76"/>
        <v>0.30373831775700932</v>
      </c>
      <c r="AH24" s="217">
        <f t="shared" si="76"/>
        <v>0.28506787330316741</v>
      </c>
      <c r="AI24" s="217">
        <f t="shared" si="76"/>
        <v>0.2863070539419087</v>
      </c>
      <c r="AJ24" s="217">
        <f t="shared" si="76"/>
        <v>0.28735632183908044</v>
      </c>
      <c r="AK24" s="217">
        <f t="shared" si="76"/>
        <v>0.28044280442804426</v>
      </c>
      <c r="AL24" s="217">
        <f t="shared" si="76"/>
        <v>0.28421052631578947</v>
      </c>
      <c r="AM24" s="217">
        <f t="shared" si="76"/>
        <v>0.24731182795698925</v>
      </c>
      <c r="AN24" s="217">
        <f t="shared" si="76"/>
        <v>0.2709030100334448</v>
      </c>
      <c r="AO24" s="217">
        <f t="shared" si="76"/>
        <v>0.25412541254125415</v>
      </c>
      <c r="AP24" s="217">
        <f t="shared" si="76"/>
        <v>0.20766773162939298</v>
      </c>
      <c r="AQ24" s="217">
        <f t="shared" si="76"/>
        <v>0.20756463256617513</v>
      </c>
      <c r="AR24" s="217">
        <f t="shared" si="76"/>
        <v>0.23165662606236467</v>
      </c>
      <c r="AS24" s="217">
        <f t="shared" si="76"/>
        <v>0.22458237591101965</v>
      </c>
      <c r="AT24" s="217">
        <f t="shared" si="76"/>
        <v>0.22401235128507854</v>
      </c>
      <c r="AU24" s="217">
        <f t="shared" si="76"/>
        <v>0.20912428820732312</v>
      </c>
      <c r="AV24" s="217">
        <f t="shared" si="76"/>
        <v>0.21690005794188377</v>
      </c>
      <c r="BK24" s="217">
        <f t="shared" ref="BK24:BQ24" si="77">BK16/BK17</f>
        <v>0.35108137880135842</v>
      </c>
      <c r="BL24" s="217">
        <f t="shared" si="77"/>
        <v>0.2857142857142857</v>
      </c>
      <c r="BM24" s="217">
        <f t="shared" si="77"/>
        <v>0.21390374331550802</v>
      </c>
      <c r="BN24" s="217">
        <f t="shared" si="77"/>
        <v>0.22668240850059032</v>
      </c>
      <c r="BO24" s="217">
        <f t="shared" si="77"/>
        <v>0.28449905482041588</v>
      </c>
      <c r="BP24" s="217">
        <f t="shared" si="77"/>
        <v>0.24455611390284757</v>
      </c>
      <c r="BQ24" s="217">
        <f t="shared" si="77"/>
        <v>0.2222068655982731</v>
      </c>
    </row>
    <row r="25" spans="2:119" ht="13.5" customHeight="1">
      <c r="B25" s="216"/>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BK25" s="217"/>
      <c r="BL25" s="217"/>
      <c r="BM25" s="217"/>
      <c r="BN25" s="217"/>
      <c r="BO25" s="217"/>
      <c r="BP25" s="217"/>
      <c r="BQ25" s="217"/>
    </row>
    <row r="26" spans="2:119" s="210" customFormat="1" ht="13.5" customHeight="1">
      <c r="B26" s="210" t="s">
        <v>273</v>
      </c>
      <c r="C26" s="206">
        <v>39</v>
      </c>
      <c r="D26" s="206">
        <v>42.3</v>
      </c>
      <c r="E26" s="206">
        <v>50.4</v>
      </c>
      <c r="F26" s="206">
        <v>54.4</v>
      </c>
      <c r="G26" s="206">
        <v>57.9</v>
      </c>
      <c r="H26" s="206">
        <v>65.099999999999994</v>
      </c>
      <c r="I26" s="206">
        <v>67.2</v>
      </c>
      <c r="J26" s="206">
        <v>73.099999999999994</v>
      </c>
      <c r="K26" s="206">
        <v>73.2</v>
      </c>
      <c r="L26" s="206">
        <v>80.599999999999994</v>
      </c>
      <c r="M26" s="206">
        <v>83.9</v>
      </c>
      <c r="N26" s="206">
        <v>96.1</v>
      </c>
      <c r="O26" s="206">
        <v>102.7</v>
      </c>
      <c r="P26" s="206">
        <v>109.6</v>
      </c>
      <c r="Q26" s="206">
        <v>111.8</v>
      </c>
      <c r="R26" s="206">
        <v>120.8</v>
      </c>
      <c r="S26" s="206">
        <f>S17</f>
        <v>128.43899999999999</v>
      </c>
      <c r="T26" s="206">
        <f>T17</f>
        <v>134.20099999999999</v>
      </c>
      <c r="U26" s="206">
        <f>U17</f>
        <v>139.50200000000001</v>
      </c>
      <c r="V26" s="206">
        <f>V17</f>
        <v>145.26100000000008</v>
      </c>
      <c r="W26" s="206">
        <v>137.30000000000001</v>
      </c>
      <c r="X26" s="206">
        <v>105.1</v>
      </c>
      <c r="Y26" s="206">
        <v>151.1</v>
      </c>
      <c r="Z26" s="206">
        <f>560.412-SUM(W26:Y26)</f>
        <v>166.91200000000003</v>
      </c>
      <c r="AA26" s="206">
        <v>169.2</v>
      </c>
      <c r="AB26" s="206">
        <v>184.3</v>
      </c>
      <c r="AC26" s="206">
        <v>190.1</v>
      </c>
      <c r="AD26" s="206">
        <f>747.59-SUM(AA26:AC26)</f>
        <v>203.99</v>
      </c>
      <c r="AE26" s="206">
        <v>203.9</v>
      </c>
      <c r="AF26" s="206">
        <v>208.3</v>
      </c>
      <c r="AG26" s="206">
        <v>213.7</v>
      </c>
      <c r="AH26" s="206">
        <f>847.133-SUM(AE26:AG26)</f>
        <v>221.23299999999995</v>
      </c>
      <c r="AI26" s="206">
        <v>241.4</v>
      </c>
      <c r="AJ26" s="206">
        <v>261.5</v>
      </c>
      <c r="AK26" s="206">
        <v>270.89999999999998</v>
      </c>
      <c r="AL26" s="206">
        <f>1058.52-SUM(AI26:AK26)</f>
        <v>284.72000000000003</v>
      </c>
      <c r="AM26" s="206">
        <v>278.7</v>
      </c>
      <c r="AN26" s="206">
        <v>299.39999999999998</v>
      </c>
      <c r="AO26" s="206">
        <v>301</v>
      </c>
      <c r="AP26" s="206">
        <f>1194.6-SUM(AM26:AO26)</f>
        <v>315.5</v>
      </c>
      <c r="AQ26" s="206">
        <f>AQ17</f>
        <v>324.14</v>
      </c>
      <c r="AR26" s="206">
        <f>AR17</f>
        <v>339.45499999999998</v>
      </c>
      <c r="AS26" s="206">
        <f>AS17</f>
        <v>354.685</v>
      </c>
      <c r="AT26" s="206">
        <f>1403.665-SUM(AQ26:AS26)</f>
        <v>385.38499999999999</v>
      </c>
      <c r="AU26" s="206">
        <f t="shared" ref="AU26:AV26" si="78">AU17</f>
        <v>374.75799999999998</v>
      </c>
      <c r="AV26" s="206">
        <f t="shared" si="78"/>
        <v>390.04599999999999</v>
      </c>
      <c r="AW26" s="224">
        <f>AW6</f>
        <v>422.97025000000002</v>
      </c>
      <c r="AX26" s="224">
        <f>AX6</f>
        <v>458.9142599999999</v>
      </c>
      <c r="AY26" s="208"/>
      <c r="AZ26" s="208"/>
      <c r="BA26" s="208"/>
      <c r="BB26" s="208"/>
      <c r="BG26" s="206">
        <f t="shared" ref="BG26:BG39" si="79">SUM(C26:F26)</f>
        <v>186.1</v>
      </c>
      <c r="BH26" s="206">
        <f t="shared" ref="BH26:BH39" si="80">SUM(G26:J26)</f>
        <v>263.29999999999995</v>
      </c>
      <c r="BI26" s="206">
        <f t="shared" ref="BI26:BI39" si="81">SUM(K26:N26)</f>
        <v>333.8</v>
      </c>
      <c r="BJ26" s="206">
        <f t="shared" ref="BJ26:BJ39" si="82">SUM(O26:R26)</f>
        <v>444.90000000000003</v>
      </c>
      <c r="BK26" s="206">
        <f>SUM(S26:V26)</f>
        <v>547.40300000000002</v>
      </c>
      <c r="BL26" s="206">
        <f>SUM(W26:Z26)</f>
        <v>560.41200000000003</v>
      </c>
      <c r="BM26" s="206">
        <f>SUM(AA26:AD26)</f>
        <v>747.59</v>
      </c>
      <c r="BN26" s="206">
        <f>SUM(AE26:AH26)</f>
        <v>847.13300000000004</v>
      </c>
      <c r="BO26" s="206">
        <f>SUM(AI26:AL26)</f>
        <v>1058.52</v>
      </c>
      <c r="BP26" s="206">
        <f>SUM(AM26:AP26)</f>
        <v>1194.5999999999999</v>
      </c>
      <c r="BQ26" s="206">
        <f t="shared" ref="BQ26:BQ41" si="83">SUM(AQ26:AT26)</f>
        <v>1403.665</v>
      </c>
      <c r="BR26" s="224">
        <f t="shared" ref="BR26:CA26" si="84">BR6</f>
        <v>1642.65229</v>
      </c>
      <c r="BS26" s="224">
        <f t="shared" si="84"/>
        <v>1911.7726240000002</v>
      </c>
      <c r="BT26" s="224">
        <f t="shared" si="84"/>
        <v>2206.8997542300003</v>
      </c>
      <c r="BU26" s="224">
        <f t="shared" si="84"/>
        <v>2527.5413554003503</v>
      </c>
      <c r="BV26" s="224">
        <f t="shared" si="84"/>
        <v>2873.059917980886</v>
      </c>
      <c r="BW26" s="224">
        <f t="shared" si="84"/>
        <v>3232.4699197235418</v>
      </c>
      <c r="BX26" s="224">
        <f t="shared" si="84"/>
        <v>3621.1226926877239</v>
      </c>
      <c r="BY26" s="224">
        <f t="shared" si="84"/>
        <v>4039.5976237003024</v>
      </c>
      <c r="BZ26" s="224">
        <f t="shared" si="84"/>
        <v>4492.9217670975922</v>
      </c>
      <c r="CA26" s="224">
        <f t="shared" si="84"/>
        <v>4981.7593072649488</v>
      </c>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c r="CY26" s="208"/>
      <c r="CZ26" s="208"/>
      <c r="DA26" s="208"/>
      <c r="DB26" s="208"/>
      <c r="DC26" s="208"/>
      <c r="DD26" s="208"/>
      <c r="DE26" s="208"/>
      <c r="DF26" s="208"/>
      <c r="DG26" s="208"/>
      <c r="DH26" s="208"/>
      <c r="DI26" s="208"/>
      <c r="DJ26" s="208"/>
      <c r="DK26" s="208"/>
      <c r="DL26" s="208"/>
      <c r="DM26" s="208"/>
      <c r="DN26" s="208"/>
      <c r="DO26" s="208"/>
    </row>
    <row r="27" spans="2:119" ht="13.5" customHeight="1">
      <c r="B27" s="204" t="s">
        <v>535</v>
      </c>
      <c r="C27" s="223">
        <v>12.2</v>
      </c>
      <c r="D27" s="223">
        <v>14.9</v>
      </c>
      <c r="E27" s="223">
        <v>16.899999999999999</v>
      </c>
      <c r="F27" s="223">
        <v>18</v>
      </c>
      <c r="G27" s="223">
        <v>18</v>
      </c>
      <c r="H27" s="223">
        <v>23.6</v>
      </c>
      <c r="I27" s="223">
        <v>24.3</v>
      </c>
      <c r="J27" s="223">
        <v>26.5</v>
      </c>
      <c r="K27" s="223">
        <v>25.5</v>
      </c>
      <c r="L27" s="223">
        <v>29.7</v>
      </c>
      <c r="M27" s="223">
        <v>29.1</v>
      </c>
      <c r="N27" s="223">
        <v>32.299999999999997</v>
      </c>
      <c r="O27" s="223">
        <v>36.1</v>
      </c>
      <c r="P27" s="223">
        <v>37.4</v>
      </c>
      <c r="Q27" s="223">
        <v>36.799999999999997</v>
      </c>
      <c r="R27" s="223">
        <v>42.1</v>
      </c>
      <c r="S27" s="223">
        <v>44.529000000000003</v>
      </c>
      <c r="T27" s="223">
        <v>40.273000000000003</v>
      </c>
      <c r="U27" s="223">
        <v>43.503999999999998</v>
      </c>
      <c r="V27" s="223">
        <f>175.441-SUM(S27:U27)</f>
        <v>47.134999999999991</v>
      </c>
      <c r="W27" s="223">
        <v>49.3</v>
      </c>
      <c r="X27" s="223">
        <v>40.200000000000003</v>
      </c>
      <c r="Y27" s="223">
        <v>60.152999999999999</v>
      </c>
      <c r="Z27" s="223">
        <f>222.237-SUM(W27:Y27)</f>
        <v>72.584000000000003</v>
      </c>
      <c r="AA27" s="223">
        <v>57.866999999999997</v>
      </c>
      <c r="AB27" s="223">
        <v>65.599999999999994</v>
      </c>
      <c r="AC27" s="223">
        <v>70.2</v>
      </c>
      <c r="AD27" s="223">
        <f>272.208-SUM(AA27:AC27)</f>
        <v>78.541000000000054</v>
      </c>
      <c r="AE27" s="223">
        <v>76.5</v>
      </c>
      <c r="AF27" s="223">
        <v>74.3</v>
      </c>
      <c r="AG27" s="223">
        <v>78.400000000000006</v>
      </c>
      <c r="AH27" s="223">
        <f>311.926-SUM(AE27:AG27)</f>
        <v>82.725999999999971</v>
      </c>
      <c r="AI27" s="223">
        <v>90.3</v>
      </c>
      <c r="AJ27" s="223">
        <v>94.6</v>
      </c>
      <c r="AK27" s="223">
        <v>93.2</v>
      </c>
      <c r="AL27" s="223">
        <f>375.9-SUM(AI27:AK27)</f>
        <v>97.800000000000011</v>
      </c>
      <c r="AM27" s="223">
        <v>97.5</v>
      </c>
      <c r="AN27" s="223">
        <v>136.6</v>
      </c>
      <c r="AO27" s="223">
        <v>100.7</v>
      </c>
      <c r="AP27" s="223">
        <f>439.6-SUM(AM27:AO27)</f>
        <v>104.80000000000001</v>
      </c>
      <c r="AQ27" s="223">
        <v>108.25700000000001</v>
      </c>
      <c r="AR27" s="223">
        <v>115.44499999999999</v>
      </c>
      <c r="AS27" s="223">
        <v>114.26900000000001</v>
      </c>
      <c r="AT27" s="223">
        <f>461.228-SUM(AQ27:AS27)</f>
        <v>123.25700000000001</v>
      </c>
      <c r="AU27" s="223">
        <v>121.34699999999999</v>
      </c>
      <c r="AV27" s="223">
        <v>125.102</v>
      </c>
      <c r="AW27" s="225">
        <f>AW26*(1-AW43)</f>
        <v>130.27483700000002</v>
      </c>
      <c r="AX27" s="225">
        <f>AX26*(1-AX43)</f>
        <v>139.96884929999999</v>
      </c>
      <c r="AY27" s="209"/>
      <c r="BG27" s="223">
        <f t="shared" si="79"/>
        <v>62</v>
      </c>
      <c r="BH27" s="223">
        <f t="shared" si="80"/>
        <v>92.4</v>
      </c>
      <c r="BI27" s="223">
        <f t="shared" si="81"/>
        <v>116.60000000000001</v>
      </c>
      <c r="BJ27" s="223">
        <f t="shared" si="82"/>
        <v>152.4</v>
      </c>
      <c r="BK27" s="223">
        <f>SUM(S27:V27)</f>
        <v>175.441</v>
      </c>
      <c r="BL27" s="223">
        <f>SUM(W27:Z27)</f>
        <v>222.23699999999999</v>
      </c>
      <c r="BM27" s="223">
        <f>SUM(AA27:AD27)</f>
        <v>272.20800000000003</v>
      </c>
      <c r="BN27" s="223">
        <f>SUM(AE27:AH27)</f>
        <v>311.92599999999999</v>
      </c>
      <c r="BO27" s="223">
        <f>SUM(AI27:AL27)</f>
        <v>375.9</v>
      </c>
      <c r="BP27" s="223">
        <f>SUM(AM27:AP27)</f>
        <v>439.6</v>
      </c>
      <c r="BQ27" s="223">
        <f t="shared" si="83"/>
        <v>461.22800000000001</v>
      </c>
      <c r="BR27" s="225">
        <f t="shared" ref="BR27:CA27" si="85">BR26*(1-BR43)</f>
        <v>542.07525569999996</v>
      </c>
      <c r="BS27" s="225">
        <f t="shared" si="85"/>
        <v>588.82596819200012</v>
      </c>
      <c r="BT27" s="225">
        <f t="shared" si="85"/>
        <v>655.44922700631014</v>
      </c>
      <c r="BU27" s="225">
        <f t="shared" si="85"/>
        <v>732.98699306610172</v>
      </c>
      <c r="BV27" s="225">
        <f t="shared" si="85"/>
        <v>818.82207662455255</v>
      </c>
      <c r="BW27" s="225">
        <f t="shared" si="85"/>
        <v>905.09157752259182</v>
      </c>
      <c r="BX27" s="225">
        <f t="shared" si="85"/>
        <v>995.80874048912415</v>
      </c>
      <c r="BY27" s="225">
        <f t="shared" si="85"/>
        <v>1090.6913583990818</v>
      </c>
      <c r="BZ27" s="225">
        <f t="shared" si="85"/>
        <v>1190.624268280862</v>
      </c>
      <c r="CA27" s="225">
        <f t="shared" si="85"/>
        <v>1295.2574198888867</v>
      </c>
      <c r="CB27" s="225"/>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c r="CY27" s="225"/>
      <c r="CZ27" s="225"/>
      <c r="DA27" s="225"/>
      <c r="DB27" s="225"/>
      <c r="DC27" s="225"/>
      <c r="DD27" s="225"/>
      <c r="DE27" s="225"/>
      <c r="DF27" s="225"/>
      <c r="DG27" s="225"/>
      <c r="DH27" s="225"/>
      <c r="DI27" s="225"/>
      <c r="DJ27" s="225"/>
      <c r="DK27" s="225"/>
      <c r="DL27" s="225"/>
      <c r="DM27" s="225"/>
      <c r="DN27" s="225"/>
      <c r="DO27" s="225"/>
    </row>
    <row r="28" spans="2:119" ht="13.5" customHeight="1">
      <c r="B28" s="204" t="s">
        <v>287</v>
      </c>
      <c r="C28" s="205">
        <f t="shared" ref="C28:AN28" si="86">C26-C27</f>
        <v>26.8</v>
      </c>
      <c r="D28" s="205">
        <f t="shared" si="86"/>
        <v>27.4</v>
      </c>
      <c r="E28" s="205">
        <f t="shared" si="86"/>
        <v>33.5</v>
      </c>
      <c r="F28" s="205">
        <f t="shared" si="86"/>
        <v>36.4</v>
      </c>
      <c r="G28" s="205">
        <f t="shared" si="86"/>
        <v>39.9</v>
      </c>
      <c r="H28" s="205">
        <f t="shared" si="86"/>
        <v>41.499999999999993</v>
      </c>
      <c r="I28" s="205">
        <f t="shared" si="86"/>
        <v>42.900000000000006</v>
      </c>
      <c r="J28" s="205">
        <f t="shared" si="86"/>
        <v>46.599999999999994</v>
      </c>
      <c r="K28" s="205">
        <f t="shared" si="86"/>
        <v>47.7</v>
      </c>
      <c r="L28" s="205">
        <f t="shared" si="86"/>
        <v>50.899999999999991</v>
      </c>
      <c r="M28" s="205">
        <f t="shared" si="86"/>
        <v>54.800000000000004</v>
      </c>
      <c r="N28" s="205">
        <f t="shared" si="86"/>
        <v>63.8</v>
      </c>
      <c r="O28" s="205">
        <f t="shared" si="86"/>
        <v>66.599999999999994</v>
      </c>
      <c r="P28" s="205">
        <f t="shared" si="86"/>
        <v>72.199999999999989</v>
      </c>
      <c r="Q28" s="205">
        <f t="shared" si="86"/>
        <v>75</v>
      </c>
      <c r="R28" s="205">
        <f t="shared" si="86"/>
        <v>78.699999999999989</v>
      </c>
      <c r="S28" s="223">
        <f t="shared" si="86"/>
        <v>83.91</v>
      </c>
      <c r="T28" s="223">
        <f t="shared" si="86"/>
        <v>93.927999999999997</v>
      </c>
      <c r="U28" s="223">
        <f t="shared" si="86"/>
        <v>95.998000000000019</v>
      </c>
      <c r="V28" s="223">
        <f t="shared" si="86"/>
        <v>98.12600000000009</v>
      </c>
      <c r="W28" s="223">
        <f t="shared" si="86"/>
        <v>88.000000000000014</v>
      </c>
      <c r="X28" s="223">
        <f t="shared" si="86"/>
        <v>64.899999999999991</v>
      </c>
      <c r="Y28" s="223">
        <f t="shared" si="86"/>
        <v>90.947000000000003</v>
      </c>
      <c r="Z28" s="223">
        <f>Z26-Z27</f>
        <v>94.328000000000031</v>
      </c>
      <c r="AA28" s="223">
        <f t="shared" si="86"/>
        <v>111.333</v>
      </c>
      <c r="AB28" s="223">
        <f t="shared" si="86"/>
        <v>118.70000000000002</v>
      </c>
      <c r="AC28" s="223">
        <f t="shared" si="86"/>
        <v>119.89999999999999</v>
      </c>
      <c r="AD28" s="223">
        <f t="shared" si="86"/>
        <v>125.44899999999996</v>
      </c>
      <c r="AE28" s="223">
        <f t="shared" si="86"/>
        <v>127.4</v>
      </c>
      <c r="AF28" s="223">
        <f t="shared" si="86"/>
        <v>134</v>
      </c>
      <c r="AG28" s="223">
        <f t="shared" si="86"/>
        <v>135.29999999999998</v>
      </c>
      <c r="AH28" s="223">
        <f t="shared" si="86"/>
        <v>138.50699999999998</v>
      </c>
      <c r="AI28" s="223">
        <f t="shared" si="86"/>
        <v>151.10000000000002</v>
      </c>
      <c r="AJ28" s="223">
        <f t="shared" si="86"/>
        <v>166.9</v>
      </c>
      <c r="AK28" s="223">
        <f t="shared" si="86"/>
        <v>177.7</v>
      </c>
      <c r="AL28" s="223">
        <f t="shared" si="86"/>
        <v>186.92000000000002</v>
      </c>
      <c r="AM28" s="223">
        <f t="shared" si="86"/>
        <v>181.2</v>
      </c>
      <c r="AN28" s="223">
        <f t="shared" si="86"/>
        <v>162.79999999999998</v>
      </c>
      <c r="AO28" s="223">
        <f>AO26-AO27</f>
        <v>200.3</v>
      </c>
      <c r="AP28" s="223">
        <f t="shared" ref="AP28" si="87">AP26-AP27</f>
        <v>210.7</v>
      </c>
      <c r="AQ28" s="223">
        <f>AQ26-AQ27</f>
        <v>215.88299999999998</v>
      </c>
      <c r="AR28" s="223">
        <f>AR26-AR27</f>
        <v>224.01</v>
      </c>
      <c r="AS28" s="223">
        <f>AS26-AS27</f>
        <v>240.416</v>
      </c>
      <c r="AT28" s="223">
        <f t="shared" ref="AT28:AV28" si="88">AT26-AT27</f>
        <v>262.12799999999999</v>
      </c>
      <c r="AU28" s="223">
        <f t="shared" si="88"/>
        <v>253.411</v>
      </c>
      <c r="AV28" s="223">
        <f t="shared" si="88"/>
        <v>264.94399999999996</v>
      </c>
      <c r="AW28" s="225">
        <f t="shared" ref="AW28:AX28" si="89">AW26-AW27</f>
        <v>292.69541300000003</v>
      </c>
      <c r="AX28" s="225">
        <f t="shared" si="89"/>
        <v>318.94541069999991</v>
      </c>
      <c r="AY28" s="209"/>
      <c r="BG28" s="223">
        <f t="shared" si="79"/>
        <v>124.1</v>
      </c>
      <c r="BH28" s="223">
        <f t="shared" si="80"/>
        <v>170.89999999999998</v>
      </c>
      <c r="BI28" s="223">
        <f t="shared" si="81"/>
        <v>217.2</v>
      </c>
      <c r="BJ28" s="223">
        <f t="shared" si="82"/>
        <v>292.5</v>
      </c>
      <c r="BK28" s="223">
        <f t="shared" ref="BK28:BO28" si="90">BK26-BK27</f>
        <v>371.96199999999999</v>
      </c>
      <c r="BL28" s="223">
        <f t="shared" si="90"/>
        <v>338.17500000000007</v>
      </c>
      <c r="BM28" s="223">
        <f t="shared" si="90"/>
        <v>475.38200000000001</v>
      </c>
      <c r="BN28" s="223">
        <f t="shared" si="90"/>
        <v>535.20700000000011</v>
      </c>
      <c r="BO28" s="223">
        <f t="shared" si="90"/>
        <v>682.62</v>
      </c>
      <c r="BP28" s="223">
        <f>BP26-BP27</f>
        <v>754.99999999999989</v>
      </c>
      <c r="BQ28" s="223">
        <f t="shared" si="83"/>
        <v>942.4369999999999</v>
      </c>
      <c r="BR28" s="225">
        <f t="shared" ref="BR28:BW28" si="91">BR26-BR27</f>
        <v>1100.5770342999999</v>
      </c>
      <c r="BS28" s="225">
        <f t="shared" si="91"/>
        <v>1322.9466558080001</v>
      </c>
      <c r="BT28" s="225">
        <f t="shared" si="91"/>
        <v>1551.4505272236902</v>
      </c>
      <c r="BU28" s="225">
        <f t="shared" si="91"/>
        <v>1794.5543623342487</v>
      </c>
      <c r="BV28" s="225">
        <f t="shared" si="91"/>
        <v>2054.2378413563333</v>
      </c>
      <c r="BW28" s="225">
        <f t="shared" si="91"/>
        <v>2327.3783422009501</v>
      </c>
      <c r="BX28" s="225">
        <f t="shared" ref="BX28:CA28" si="92">BX26-BX27</f>
        <v>2625.3139521985995</v>
      </c>
      <c r="BY28" s="225">
        <f t="shared" si="92"/>
        <v>2948.9062653012206</v>
      </c>
      <c r="BZ28" s="225">
        <f t="shared" si="92"/>
        <v>3302.2974988167302</v>
      </c>
      <c r="CA28" s="225">
        <f t="shared" si="92"/>
        <v>3686.5018873760619</v>
      </c>
      <c r="CB28" s="225"/>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c r="CY28" s="225"/>
      <c r="CZ28" s="225"/>
      <c r="DA28" s="225"/>
      <c r="DB28" s="225"/>
      <c r="DC28" s="225"/>
      <c r="DD28" s="225"/>
      <c r="DE28" s="225"/>
      <c r="DF28" s="225"/>
      <c r="DG28" s="225"/>
      <c r="DH28" s="225"/>
      <c r="DI28" s="225"/>
      <c r="DJ28" s="225"/>
      <c r="DK28" s="225"/>
      <c r="DL28" s="225"/>
      <c r="DM28" s="225"/>
      <c r="DN28" s="225"/>
      <c r="DO28" s="225"/>
    </row>
    <row r="29" spans="2:119" ht="13.5" customHeight="1">
      <c r="B29" s="204" t="s">
        <v>288</v>
      </c>
      <c r="C29" s="223">
        <v>3.2</v>
      </c>
      <c r="D29" s="223">
        <v>4.8</v>
      </c>
      <c r="E29" s="223">
        <v>4.5999999999999996</v>
      </c>
      <c r="F29" s="223">
        <v>5.5</v>
      </c>
      <c r="G29" s="223">
        <v>5</v>
      </c>
      <c r="H29" s="223">
        <v>6.3</v>
      </c>
      <c r="I29" s="223">
        <v>6.5</v>
      </c>
      <c r="J29" s="223">
        <v>6.1</v>
      </c>
      <c r="K29" s="223">
        <v>7</v>
      </c>
      <c r="L29" s="223">
        <v>8.1</v>
      </c>
      <c r="M29" s="223">
        <v>8.1</v>
      </c>
      <c r="N29" s="223">
        <v>8.4</v>
      </c>
      <c r="O29" s="223">
        <v>8</v>
      </c>
      <c r="P29" s="223">
        <v>8.1999999999999993</v>
      </c>
      <c r="Q29" s="223">
        <v>39.9</v>
      </c>
      <c r="R29" s="223">
        <v>10.9</v>
      </c>
      <c r="S29" s="223">
        <v>11.667</v>
      </c>
      <c r="T29" s="223">
        <v>13.462</v>
      </c>
      <c r="U29" s="223">
        <v>13.733000000000001</v>
      </c>
      <c r="V29" s="223">
        <f>51.723-SUM(S29:U29)</f>
        <v>12.861000000000004</v>
      </c>
      <c r="W29" s="223">
        <v>12.946</v>
      </c>
      <c r="X29" s="223">
        <v>22.725000000000001</v>
      </c>
      <c r="Y29" s="223">
        <v>34.923000000000002</v>
      </c>
      <c r="Z29" s="223">
        <f>90.049-SUM(W29:Y29)</f>
        <v>19.455000000000013</v>
      </c>
      <c r="AA29" s="223">
        <v>18.076000000000001</v>
      </c>
      <c r="AB29" s="223">
        <v>17.738</v>
      </c>
      <c r="AC29" s="223">
        <v>16.73</v>
      </c>
      <c r="AD29" s="223">
        <f>104.552-SUM(AA29:AC29)</f>
        <v>52.00800000000001</v>
      </c>
      <c r="AE29" s="223">
        <v>20.56</v>
      </c>
      <c r="AF29" s="223">
        <v>19.559000000000001</v>
      </c>
      <c r="AG29" s="223">
        <v>21.32</v>
      </c>
      <c r="AH29" s="223">
        <f>79.407-SUM(AE29:AG29)</f>
        <v>17.967999999999996</v>
      </c>
      <c r="AI29" s="223">
        <v>19.98</v>
      </c>
      <c r="AJ29" s="223">
        <v>21.5</v>
      </c>
      <c r="AK29" s="223">
        <v>21</v>
      </c>
      <c r="AL29" s="223">
        <f>84.4-SUM(AI29:AK29)</f>
        <v>21.92</v>
      </c>
      <c r="AM29" s="223">
        <v>24.6</v>
      </c>
      <c r="AN29" s="223">
        <v>24.9</v>
      </c>
      <c r="AO29" s="223">
        <v>25.2</v>
      </c>
      <c r="AP29" s="223">
        <f>94.8-SUM(AM29:AO29)</f>
        <v>20.099999999999994</v>
      </c>
      <c r="AQ29" s="223">
        <v>22.077000000000002</v>
      </c>
      <c r="AR29" s="223">
        <v>23.218</v>
      </c>
      <c r="AS29" s="223">
        <v>22.677</v>
      </c>
      <c r="AT29" s="223">
        <f>89.766-SUM(AQ29:AS29)</f>
        <v>21.793999999999997</v>
      </c>
      <c r="AU29" s="223">
        <v>22.382000000000001</v>
      </c>
      <c r="AV29" s="223">
        <v>25.396000000000001</v>
      </c>
      <c r="AW29" s="225">
        <f>AW26*AW44</f>
        <v>31.72276875</v>
      </c>
      <c r="AX29" s="225">
        <f>AX26*AX44</f>
        <v>34.41856949999999</v>
      </c>
      <c r="AY29" s="209"/>
      <c r="BG29" s="223">
        <f t="shared" si="79"/>
        <v>18.100000000000001</v>
      </c>
      <c r="BH29" s="223">
        <f t="shared" si="80"/>
        <v>23.9</v>
      </c>
      <c r="BI29" s="223">
        <f t="shared" si="81"/>
        <v>31.6</v>
      </c>
      <c r="BJ29" s="223">
        <f t="shared" si="82"/>
        <v>67</v>
      </c>
      <c r="BK29" s="223">
        <f>SUM(S29:V29)</f>
        <v>51.722999999999999</v>
      </c>
      <c r="BL29" s="223">
        <f>SUM(W29:Z29)</f>
        <v>90.049000000000007</v>
      </c>
      <c r="BM29" s="223">
        <f>SUM(AA29:AD29)</f>
        <v>104.55200000000001</v>
      </c>
      <c r="BN29" s="223">
        <f>SUM(AE29:AH29)</f>
        <v>79.406999999999996</v>
      </c>
      <c r="BO29" s="223">
        <f>SUM(AI29:AL29)</f>
        <v>84.4</v>
      </c>
      <c r="BP29" s="223">
        <f>SUM(AM29:AP29)</f>
        <v>94.8</v>
      </c>
      <c r="BQ29" s="223">
        <f t="shared" si="83"/>
        <v>89.766000000000005</v>
      </c>
      <c r="BR29" s="225">
        <f t="shared" ref="BR29:CA29" si="93">BR26*BR44</f>
        <v>123.19892175</v>
      </c>
      <c r="BS29" s="225">
        <f t="shared" si="93"/>
        <v>145.29471942400002</v>
      </c>
      <c r="BT29" s="225">
        <f t="shared" si="93"/>
        <v>178.75888009263002</v>
      </c>
      <c r="BU29" s="225">
        <f t="shared" si="93"/>
        <v>214.84101520902979</v>
      </c>
      <c r="BV29" s="225">
        <f t="shared" si="93"/>
        <v>244.21009302837533</v>
      </c>
      <c r="BW29" s="225">
        <f t="shared" si="93"/>
        <v>282.84111797580988</v>
      </c>
      <c r="BX29" s="225">
        <f t="shared" si="93"/>
        <v>325.90104234189516</v>
      </c>
      <c r="BY29" s="225">
        <f t="shared" si="93"/>
        <v>383.76177425152872</v>
      </c>
      <c r="BZ29" s="225">
        <f t="shared" si="93"/>
        <v>426.82756787427127</v>
      </c>
      <c r="CA29" s="225">
        <f t="shared" si="93"/>
        <v>473.26713419017017</v>
      </c>
      <c r="CB29" s="225"/>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c r="CY29" s="225"/>
      <c r="CZ29" s="225"/>
      <c r="DA29" s="225"/>
      <c r="DB29" s="225"/>
      <c r="DC29" s="225"/>
      <c r="DD29" s="225"/>
      <c r="DE29" s="225"/>
      <c r="DF29" s="225"/>
      <c r="DG29" s="225"/>
      <c r="DH29" s="225"/>
      <c r="DI29" s="225"/>
      <c r="DJ29" s="225"/>
      <c r="DK29" s="225"/>
      <c r="DL29" s="225"/>
      <c r="DM29" s="225"/>
      <c r="DN29" s="225"/>
      <c r="DO29" s="225"/>
    </row>
    <row r="30" spans="2:119" ht="13.5" customHeight="1">
      <c r="B30" s="204" t="s">
        <v>289</v>
      </c>
      <c r="C30" s="223">
        <v>19.5</v>
      </c>
      <c r="D30" s="223">
        <v>26.4</v>
      </c>
      <c r="E30" s="223">
        <v>26.8</v>
      </c>
      <c r="F30" s="223">
        <v>29.2</v>
      </c>
      <c r="G30" s="223">
        <v>33.1</v>
      </c>
      <c r="H30" s="223">
        <v>35.9</v>
      </c>
      <c r="I30" s="223">
        <v>37.700000000000003</v>
      </c>
      <c r="J30" s="223">
        <v>41.6</v>
      </c>
      <c r="K30" s="223">
        <v>42.7</v>
      </c>
      <c r="L30" s="223">
        <v>44.2</v>
      </c>
      <c r="M30" s="223">
        <v>46</v>
      </c>
      <c r="N30" s="223">
        <v>51.5</v>
      </c>
      <c r="O30" s="223">
        <v>54.5</v>
      </c>
      <c r="P30" s="223">
        <v>54.8</v>
      </c>
      <c r="Q30" s="223">
        <v>55.9</v>
      </c>
      <c r="R30" s="223">
        <v>61.2</v>
      </c>
      <c r="S30" s="223">
        <v>61.091000000000001</v>
      </c>
      <c r="T30" s="223">
        <v>67.665000000000006</v>
      </c>
      <c r="U30" s="223">
        <v>69.289000000000001</v>
      </c>
      <c r="V30" s="223">
        <f>272.733-SUM(S30:U30)</f>
        <v>74.687999999999988</v>
      </c>
      <c r="W30" s="223">
        <v>74.453000000000003</v>
      </c>
      <c r="X30" s="223">
        <v>59.8</v>
      </c>
      <c r="Y30" s="223">
        <v>76.2</v>
      </c>
      <c r="Z30" s="223">
        <f>287.068-SUM(W30:Y30)</f>
        <v>76.615000000000009</v>
      </c>
      <c r="AA30" s="223">
        <v>79.798000000000002</v>
      </c>
      <c r="AB30" s="223">
        <v>90.63</v>
      </c>
      <c r="AC30" s="223">
        <v>94.397000000000006</v>
      </c>
      <c r="AD30" s="223">
        <f>378.331-SUM(AA30:AC30)</f>
        <v>113.50600000000003</v>
      </c>
      <c r="AE30" s="223">
        <v>110.9</v>
      </c>
      <c r="AF30" s="223">
        <v>114.61499999999999</v>
      </c>
      <c r="AG30" s="223">
        <v>108.57</v>
      </c>
      <c r="AH30" s="223">
        <f>449.718-SUM(AE30:AG30)</f>
        <v>115.63300000000004</v>
      </c>
      <c r="AI30" s="223">
        <v>123.07</v>
      </c>
      <c r="AJ30" s="223">
        <v>127.4</v>
      </c>
      <c r="AK30" s="223">
        <v>125.9</v>
      </c>
      <c r="AL30" s="223">
        <f>506.4-SUM(AI30:AK30)</f>
        <v>130.02999999999997</v>
      </c>
      <c r="AM30" s="223">
        <v>144.4</v>
      </c>
      <c r="AN30" s="223">
        <v>141.9</v>
      </c>
      <c r="AO30" s="223">
        <v>139.69999999999999</v>
      </c>
      <c r="AP30" s="223">
        <f>574-SUM(AM30:AO30)</f>
        <v>148</v>
      </c>
      <c r="AQ30" s="223">
        <v>153.45599999999999</v>
      </c>
      <c r="AR30" s="223">
        <v>159.964</v>
      </c>
      <c r="AS30" s="223">
        <v>168.90100000000001</v>
      </c>
      <c r="AT30" s="223">
        <f>663.422-SUM(AQ30:AS30)</f>
        <v>181.10100000000006</v>
      </c>
      <c r="AU30" s="223">
        <v>192.79499999999999</v>
      </c>
      <c r="AV30" s="223">
        <v>198.50899999999999</v>
      </c>
      <c r="AW30" s="225">
        <f>AW26*AW45</f>
        <v>195.83522575000001</v>
      </c>
      <c r="AX30" s="225">
        <f>AX26*AX45</f>
        <v>212.01838811999997</v>
      </c>
      <c r="AY30" s="209"/>
      <c r="BG30" s="223">
        <f t="shared" si="79"/>
        <v>101.9</v>
      </c>
      <c r="BH30" s="223">
        <f t="shared" si="80"/>
        <v>148.30000000000001</v>
      </c>
      <c r="BI30" s="223">
        <f t="shared" si="81"/>
        <v>184.4</v>
      </c>
      <c r="BJ30" s="223">
        <f t="shared" si="82"/>
        <v>226.39999999999998</v>
      </c>
      <c r="BK30" s="223">
        <f>SUM(S30:V30)</f>
        <v>272.733</v>
      </c>
      <c r="BL30" s="223">
        <f>SUM(W30:Z30)</f>
        <v>287.06799999999998</v>
      </c>
      <c r="BM30" s="223">
        <f>SUM(AA30:AD30)</f>
        <v>378.33100000000002</v>
      </c>
      <c r="BN30" s="223">
        <f>SUM(AE30:AH30)</f>
        <v>449.71800000000002</v>
      </c>
      <c r="BO30" s="223">
        <f>SUM(AI30:AL30)</f>
        <v>506.4</v>
      </c>
      <c r="BP30" s="223">
        <f>SUM(AM30:AP30)</f>
        <v>574</v>
      </c>
      <c r="BQ30" s="223">
        <f t="shared" si="83"/>
        <v>663.42200000000003</v>
      </c>
      <c r="BR30" s="225">
        <f t="shared" ref="BR30:CA30" si="94">BR26*BR45</f>
        <v>770.40392400999997</v>
      </c>
      <c r="BS30" s="225">
        <f t="shared" si="94"/>
        <v>865.07711236000011</v>
      </c>
      <c r="BT30" s="225">
        <f t="shared" si="94"/>
        <v>984.27729038658015</v>
      </c>
      <c r="BU30" s="225">
        <f t="shared" si="94"/>
        <v>1109.5906550207537</v>
      </c>
      <c r="BV30" s="225">
        <f t="shared" si="94"/>
        <v>1249.7810643216853</v>
      </c>
      <c r="BW30" s="225">
        <f t="shared" si="94"/>
        <v>1398.0432402804317</v>
      </c>
      <c r="BX30" s="225">
        <f t="shared" si="94"/>
        <v>1549.8405124703459</v>
      </c>
      <c r="BY30" s="225">
        <f t="shared" si="94"/>
        <v>1716.8289900726286</v>
      </c>
      <c r="BZ30" s="225">
        <f t="shared" si="94"/>
        <v>1887.0271421809887</v>
      </c>
      <c r="CA30" s="225">
        <f t="shared" si="94"/>
        <v>2042.521315978629</v>
      </c>
      <c r="CB30" s="225"/>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c r="CY30" s="225"/>
      <c r="CZ30" s="225"/>
      <c r="DA30" s="225"/>
      <c r="DB30" s="225"/>
      <c r="DC30" s="225"/>
      <c r="DD30" s="225"/>
      <c r="DE30" s="225"/>
      <c r="DF30" s="225"/>
      <c r="DG30" s="225"/>
      <c r="DH30" s="225"/>
      <c r="DI30" s="225"/>
      <c r="DJ30" s="225"/>
      <c r="DK30" s="225"/>
      <c r="DL30" s="225"/>
      <c r="DM30" s="225"/>
      <c r="DN30" s="225"/>
      <c r="DO30" s="225"/>
    </row>
    <row r="31" spans="2:119" ht="13.5" customHeight="1">
      <c r="B31" s="204" t="s">
        <v>290</v>
      </c>
      <c r="C31" s="223">
        <v>0</v>
      </c>
      <c r="D31" s="223">
        <v>0</v>
      </c>
      <c r="E31" s="223">
        <v>0</v>
      </c>
      <c r="F31" s="223">
        <v>0</v>
      </c>
      <c r="G31" s="223">
        <v>0</v>
      </c>
      <c r="H31" s="223">
        <v>0</v>
      </c>
      <c r="I31" s="223">
        <v>0</v>
      </c>
      <c r="J31" s="223">
        <v>0</v>
      </c>
      <c r="K31" s="223">
        <v>0</v>
      </c>
      <c r="L31" s="223">
        <v>0</v>
      </c>
      <c r="M31" s="223">
        <v>0</v>
      </c>
      <c r="N31" s="223">
        <v>0</v>
      </c>
      <c r="O31" s="223">
        <v>0</v>
      </c>
      <c r="P31" s="223">
        <v>0</v>
      </c>
      <c r="Q31" s="223">
        <v>0</v>
      </c>
      <c r="R31" s="223">
        <v>0</v>
      </c>
      <c r="S31" s="223">
        <v>0</v>
      </c>
      <c r="T31" s="223">
        <v>0</v>
      </c>
      <c r="U31" s="223">
        <v>0</v>
      </c>
      <c r="V31" s="223">
        <f>0-SUM(S31:U31)</f>
        <v>0</v>
      </c>
      <c r="W31" s="223">
        <v>0</v>
      </c>
      <c r="X31" s="223">
        <v>0</v>
      </c>
      <c r="Y31" s="223">
        <v>0</v>
      </c>
      <c r="Z31" s="223">
        <f>0-SUM(W31:Y31)</f>
        <v>0</v>
      </c>
      <c r="AA31" s="223">
        <v>0</v>
      </c>
      <c r="AB31" s="223">
        <v>0</v>
      </c>
      <c r="AC31" s="223">
        <v>0</v>
      </c>
      <c r="AD31" s="223">
        <f>0-SUM(AA31:AC31)</f>
        <v>0</v>
      </c>
      <c r="AE31" s="223">
        <v>0</v>
      </c>
      <c r="AF31" s="223">
        <v>0</v>
      </c>
      <c r="AG31" s="223">
        <v>0</v>
      </c>
      <c r="AH31" s="223">
        <f>0-SUM(AE31:AG31)</f>
        <v>0</v>
      </c>
      <c r="AI31" s="223">
        <v>0</v>
      </c>
      <c r="AJ31" s="223">
        <v>0</v>
      </c>
      <c r="AK31" s="223">
        <v>18.2</v>
      </c>
      <c r="AL31" s="223">
        <f>18.2-SUM(AI31:AK31)</f>
        <v>0</v>
      </c>
      <c r="AM31" s="223">
        <v>0</v>
      </c>
      <c r="AN31" s="223">
        <v>0</v>
      </c>
      <c r="AO31" s="223">
        <v>0</v>
      </c>
      <c r="AP31" s="223">
        <f>0-SUM(AM31:AO31)</f>
        <v>0</v>
      </c>
      <c r="AQ31" s="223">
        <v>0</v>
      </c>
      <c r="AR31" s="223">
        <v>0</v>
      </c>
      <c r="AS31" s="223">
        <v>0</v>
      </c>
      <c r="AT31" s="223">
        <f>0-SUM(AQ31:AS31)</f>
        <v>0</v>
      </c>
      <c r="AU31" s="223">
        <v>0</v>
      </c>
      <c r="AV31" s="223">
        <v>0</v>
      </c>
      <c r="AW31" s="225">
        <v>0</v>
      </c>
      <c r="AX31" s="225">
        <v>0</v>
      </c>
      <c r="AY31" s="209"/>
      <c r="BG31" s="223">
        <f t="shared" si="79"/>
        <v>0</v>
      </c>
      <c r="BH31" s="223">
        <f t="shared" si="80"/>
        <v>0</v>
      </c>
      <c r="BI31" s="223">
        <f t="shared" si="81"/>
        <v>0</v>
      </c>
      <c r="BJ31" s="223">
        <f t="shared" si="82"/>
        <v>0</v>
      </c>
      <c r="BK31" s="223">
        <f>SUM(S31:V31)</f>
        <v>0</v>
      </c>
      <c r="BL31" s="223">
        <f>SUM(W31:Z31)</f>
        <v>0</v>
      </c>
      <c r="BM31" s="223">
        <f>SUM(AA31:AD31)</f>
        <v>0</v>
      </c>
      <c r="BN31" s="223">
        <f>SUM(AE31:AH31)</f>
        <v>0</v>
      </c>
      <c r="BO31" s="223">
        <f>SUM(AI31:AL31)</f>
        <v>18.2</v>
      </c>
      <c r="BP31" s="223">
        <f>SUM(AM31:AP31)</f>
        <v>0</v>
      </c>
      <c r="BQ31" s="223">
        <f t="shared" si="83"/>
        <v>0</v>
      </c>
      <c r="BR31" s="225">
        <v>0</v>
      </c>
      <c r="BS31" s="225">
        <v>0</v>
      </c>
      <c r="BT31" s="225">
        <v>0</v>
      </c>
      <c r="BU31" s="225">
        <v>0</v>
      </c>
      <c r="BV31" s="225">
        <v>0</v>
      </c>
      <c r="BW31" s="225">
        <v>0</v>
      </c>
      <c r="BX31" s="225">
        <v>0</v>
      </c>
      <c r="BY31" s="225">
        <v>0</v>
      </c>
      <c r="BZ31" s="225">
        <v>0</v>
      </c>
      <c r="CA31" s="225">
        <v>0</v>
      </c>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row>
    <row r="32" spans="2:119" ht="13.5" customHeight="1">
      <c r="B32" s="204" t="s">
        <v>291</v>
      </c>
      <c r="C32" s="223">
        <v>0.1</v>
      </c>
      <c r="D32" s="223">
        <f>31.2-SUM(D29:D31)</f>
        <v>0</v>
      </c>
      <c r="E32" s="223">
        <f>31.3-SUM(E29:E31)</f>
        <v>-9.9999999999997868E-2</v>
      </c>
      <c r="F32" s="223">
        <f>34.6-SUM(F29:F31)</f>
        <v>-0.10000000000000142</v>
      </c>
      <c r="G32" s="223">
        <f>38.1-SUM(G29:G31)</f>
        <v>0</v>
      </c>
      <c r="H32" s="223">
        <v>0</v>
      </c>
      <c r="I32" s="223">
        <v>0.1</v>
      </c>
      <c r="J32" s="223">
        <v>0.1</v>
      </c>
      <c r="K32" s="223">
        <v>0</v>
      </c>
      <c r="L32" s="223">
        <v>-0.1</v>
      </c>
      <c r="M32" s="223">
        <v>0</v>
      </c>
      <c r="N32" s="223">
        <v>0</v>
      </c>
      <c r="O32" s="223">
        <v>0.1</v>
      </c>
      <c r="P32" s="223">
        <v>-0.1</v>
      </c>
      <c r="Q32" s="223">
        <v>0</v>
      </c>
      <c r="R32" s="223">
        <v>-0.1</v>
      </c>
      <c r="S32" s="223">
        <v>0</v>
      </c>
      <c r="T32" s="223">
        <v>0</v>
      </c>
      <c r="U32" s="223">
        <v>0</v>
      </c>
      <c r="V32" s="223">
        <f>0-SUM(S32:U32)</f>
        <v>0</v>
      </c>
      <c r="W32" s="223">
        <v>0</v>
      </c>
      <c r="X32" s="223">
        <v>0</v>
      </c>
      <c r="Y32" s="223">
        <v>0</v>
      </c>
      <c r="Z32" s="223">
        <f>0-SUM(W32:Y32)</f>
        <v>0</v>
      </c>
      <c r="AA32" s="223">
        <v>0</v>
      </c>
      <c r="AB32" s="223">
        <v>0</v>
      </c>
      <c r="AC32" s="223">
        <v>0</v>
      </c>
      <c r="AD32" s="223">
        <f>0-SUM(AA32:AC32)</f>
        <v>0</v>
      </c>
      <c r="AE32" s="223">
        <v>0</v>
      </c>
      <c r="AF32" s="223">
        <v>0</v>
      </c>
      <c r="AG32" s="223">
        <v>0</v>
      </c>
      <c r="AH32" s="223">
        <f>0-SUM(AE32:AG32)</f>
        <v>0</v>
      </c>
      <c r="AI32" s="223">
        <v>0</v>
      </c>
      <c r="AJ32" s="223">
        <v>0</v>
      </c>
      <c r="AK32" s="223">
        <v>0</v>
      </c>
      <c r="AL32" s="223">
        <f>0-SUM(AI32:AK32)</f>
        <v>0</v>
      </c>
      <c r="AM32" s="223">
        <v>0</v>
      </c>
      <c r="AN32" s="223">
        <v>76.900000000000006</v>
      </c>
      <c r="AO32" s="223">
        <v>0</v>
      </c>
      <c r="AP32" s="223">
        <f>76.94-SUM(AM32:AO32)</f>
        <v>3.9999999999992042E-2</v>
      </c>
      <c r="AQ32" s="223">
        <v>0</v>
      </c>
      <c r="AR32" s="223">
        <v>0</v>
      </c>
      <c r="AS32" s="223">
        <v>0</v>
      </c>
      <c r="AT32" s="223">
        <f>0-SUM(AQ32:AS32)</f>
        <v>0</v>
      </c>
      <c r="AU32" s="223">
        <v>0</v>
      </c>
      <c r="AV32" s="223">
        <v>0</v>
      </c>
      <c r="AW32" s="225">
        <v>0</v>
      </c>
      <c r="AX32" s="225">
        <v>0</v>
      </c>
      <c r="AY32" s="209"/>
      <c r="BG32" s="223">
        <f t="shared" si="79"/>
        <v>-9.9999999999999284E-2</v>
      </c>
      <c r="BH32" s="223">
        <f t="shared" si="80"/>
        <v>0.2</v>
      </c>
      <c r="BI32" s="223">
        <f t="shared" si="81"/>
        <v>-0.1</v>
      </c>
      <c r="BJ32" s="223">
        <f t="shared" si="82"/>
        <v>-0.1</v>
      </c>
      <c r="BK32" s="223">
        <f>SUM(S32:V32)</f>
        <v>0</v>
      </c>
      <c r="BL32" s="223">
        <f>SUM(W32:Z32)</f>
        <v>0</v>
      </c>
      <c r="BM32" s="223">
        <f>SUM(AA32:AD32)</f>
        <v>0</v>
      </c>
      <c r="BN32" s="223">
        <f>SUM(AE32:AH32)</f>
        <v>0</v>
      </c>
      <c r="BO32" s="223">
        <f>SUM(AI32:AL32)</f>
        <v>0</v>
      </c>
      <c r="BP32" s="223">
        <f>SUM(AM32:AP32)</f>
        <v>76.94</v>
      </c>
      <c r="BQ32" s="223">
        <f t="shared" si="83"/>
        <v>0</v>
      </c>
      <c r="BR32" s="225">
        <v>115.3</v>
      </c>
      <c r="BS32" s="225">
        <v>0</v>
      </c>
      <c r="BT32" s="225">
        <v>0</v>
      </c>
      <c r="BU32" s="225">
        <v>0</v>
      </c>
      <c r="BV32" s="225">
        <v>0</v>
      </c>
      <c r="BW32" s="225">
        <v>0</v>
      </c>
      <c r="BX32" s="225">
        <v>0</v>
      </c>
      <c r="BY32" s="225">
        <v>0</v>
      </c>
      <c r="BZ32" s="225">
        <v>0</v>
      </c>
      <c r="CA32" s="225">
        <v>0</v>
      </c>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c r="CY32" s="225"/>
      <c r="CZ32" s="225"/>
      <c r="DA32" s="225"/>
      <c r="DB32" s="225"/>
      <c r="DC32" s="225"/>
      <c r="DD32" s="225"/>
      <c r="DE32" s="225"/>
      <c r="DF32" s="225"/>
      <c r="DG32" s="225"/>
      <c r="DH32" s="225"/>
      <c r="DI32" s="225"/>
      <c r="DJ32" s="225"/>
      <c r="DK32" s="225"/>
      <c r="DL32" s="225"/>
      <c r="DM32" s="225"/>
      <c r="DN32" s="225"/>
      <c r="DO32" s="225"/>
    </row>
    <row r="33" spans="2:119" ht="13.5" customHeight="1">
      <c r="B33" s="204" t="s">
        <v>292</v>
      </c>
      <c r="C33" s="223">
        <f t="shared" ref="C33:T33" si="95">C28-SUM(C29:C32)</f>
        <v>4</v>
      </c>
      <c r="D33" s="223">
        <f t="shared" si="95"/>
        <v>-3.8000000000000007</v>
      </c>
      <c r="E33" s="223">
        <f t="shared" si="95"/>
        <v>2.1999999999999993</v>
      </c>
      <c r="F33" s="223">
        <f t="shared" si="95"/>
        <v>1.7999999999999972</v>
      </c>
      <c r="G33" s="223">
        <f t="shared" si="95"/>
        <v>1.7999999999999972</v>
      </c>
      <c r="H33" s="223">
        <f t="shared" si="95"/>
        <v>-0.70000000000000284</v>
      </c>
      <c r="I33" s="223">
        <f t="shared" si="95"/>
        <v>-1.3999999999999986</v>
      </c>
      <c r="J33" s="223">
        <f t="shared" si="95"/>
        <v>-1.2000000000000099</v>
      </c>
      <c r="K33" s="223">
        <f t="shared" si="95"/>
        <v>-2</v>
      </c>
      <c r="L33" s="223">
        <f t="shared" si="95"/>
        <v>-1.3000000000000114</v>
      </c>
      <c r="M33" s="223">
        <f t="shared" si="95"/>
        <v>0.70000000000000284</v>
      </c>
      <c r="N33" s="223">
        <f t="shared" si="95"/>
        <v>3.8999999999999986</v>
      </c>
      <c r="O33" s="223">
        <f t="shared" si="95"/>
        <v>3.9999999999999929</v>
      </c>
      <c r="P33" s="223">
        <f t="shared" si="95"/>
        <v>9.2999999999999901</v>
      </c>
      <c r="Q33" s="223">
        <f t="shared" si="95"/>
        <v>-20.799999999999997</v>
      </c>
      <c r="R33" s="223">
        <f t="shared" si="95"/>
        <v>6.6999999999999744</v>
      </c>
      <c r="S33" s="223">
        <f t="shared" si="95"/>
        <v>11.152000000000001</v>
      </c>
      <c r="T33" s="223">
        <f t="shared" si="95"/>
        <v>12.800999999999988</v>
      </c>
      <c r="U33" s="223">
        <v>12.976000000000001</v>
      </c>
      <c r="V33" s="223">
        <f t="shared" ref="V33:AN33" si="96">V28-SUM(V29:V32)</f>
        <v>10.577000000000098</v>
      </c>
      <c r="W33" s="223">
        <f t="shared" si="96"/>
        <v>0.6010000000000133</v>
      </c>
      <c r="X33" s="223">
        <f t="shared" si="96"/>
        <v>-17.625000000000014</v>
      </c>
      <c r="Y33" s="223">
        <f t="shared" si="96"/>
        <v>-20.176000000000002</v>
      </c>
      <c r="Z33" s="223">
        <f>Z28-SUM(Z29:Z32)</f>
        <v>-1.7419999999999902</v>
      </c>
      <c r="AA33" s="223">
        <f t="shared" si="96"/>
        <v>13.459000000000003</v>
      </c>
      <c r="AB33" s="223">
        <f t="shared" si="96"/>
        <v>10.332000000000022</v>
      </c>
      <c r="AC33" s="223">
        <f t="shared" si="96"/>
        <v>8.7729999999999819</v>
      </c>
      <c r="AD33" s="223">
        <f>AD28-SUM(AD29:AD32)</f>
        <v>-40.065000000000083</v>
      </c>
      <c r="AE33" s="223">
        <f t="shared" si="96"/>
        <v>-4.0600000000000023</v>
      </c>
      <c r="AF33" s="223">
        <f t="shared" si="96"/>
        <v>-0.17400000000000659</v>
      </c>
      <c r="AG33" s="223">
        <f t="shared" si="96"/>
        <v>5.4099999999999966</v>
      </c>
      <c r="AH33" s="223">
        <f t="shared" si="96"/>
        <v>4.9059999999999491</v>
      </c>
      <c r="AI33" s="223">
        <f t="shared" si="96"/>
        <v>8.0500000000000398</v>
      </c>
      <c r="AJ33" s="223">
        <f t="shared" si="96"/>
        <v>18</v>
      </c>
      <c r="AK33" s="223">
        <f t="shared" si="96"/>
        <v>12.599999999999994</v>
      </c>
      <c r="AL33" s="223">
        <f t="shared" si="96"/>
        <v>34.970000000000027</v>
      </c>
      <c r="AM33" s="223">
        <f t="shared" si="96"/>
        <v>12.199999999999989</v>
      </c>
      <c r="AN33" s="223">
        <f t="shared" si="96"/>
        <v>-80.900000000000034</v>
      </c>
      <c r="AO33" s="223">
        <f>AO28-SUM(AO29:AO32)</f>
        <v>35.400000000000034</v>
      </c>
      <c r="AP33" s="223">
        <f t="shared" ref="AP33" si="97">AP28-SUM(AP29:AP32)</f>
        <v>42.56</v>
      </c>
      <c r="AQ33" s="223">
        <f>AQ28-SUM(AQ29:AQ32)</f>
        <v>40.349999999999994</v>
      </c>
      <c r="AR33" s="223">
        <f>AR28-SUM(AR29:AR32)</f>
        <v>40.828000000000003</v>
      </c>
      <c r="AS33" s="223">
        <f>AS28-SUM(AS29:AS32)</f>
        <v>48.837999999999994</v>
      </c>
      <c r="AT33" s="223">
        <f t="shared" ref="AT33:AV33" si="98">AT28-SUM(AT29:AT32)</f>
        <v>59.232999999999947</v>
      </c>
      <c r="AU33" s="223">
        <f t="shared" si="98"/>
        <v>38.234000000000009</v>
      </c>
      <c r="AV33" s="223">
        <f t="shared" si="98"/>
        <v>41.038999999999987</v>
      </c>
      <c r="AW33" s="225">
        <f t="shared" ref="AW33:AX33" si="99">AW28-SUM(AW29:AW32)</f>
        <v>65.137418500000024</v>
      </c>
      <c r="AX33" s="225">
        <f t="shared" si="99"/>
        <v>72.508453079999953</v>
      </c>
      <c r="AY33" s="209"/>
      <c r="BG33" s="223">
        <f t="shared" si="79"/>
        <v>4.1999999999999957</v>
      </c>
      <c r="BH33" s="223">
        <f t="shared" si="80"/>
        <v>-1.5000000000000142</v>
      </c>
      <c r="BI33" s="223">
        <f t="shared" si="81"/>
        <v>1.2999999999999901</v>
      </c>
      <c r="BJ33" s="223">
        <f t="shared" si="82"/>
        <v>-0.80000000000003979</v>
      </c>
      <c r="BK33" s="223">
        <f t="shared" ref="BK33:BO33" si="100">BK28-SUM(BK29:BK32)</f>
        <v>47.505999999999972</v>
      </c>
      <c r="BL33" s="223">
        <f t="shared" si="100"/>
        <v>-38.941999999999894</v>
      </c>
      <c r="BM33" s="223">
        <f t="shared" si="100"/>
        <v>-7.5010000000000332</v>
      </c>
      <c r="BN33" s="223">
        <f t="shared" si="100"/>
        <v>6.0820000000001073</v>
      </c>
      <c r="BO33" s="223">
        <f t="shared" si="100"/>
        <v>73.62</v>
      </c>
      <c r="BP33" s="223">
        <f>BP28-SUM(BP29:BP32)</f>
        <v>9.2599999999998772</v>
      </c>
      <c r="BQ33" s="223">
        <f t="shared" si="83"/>
        <v>189.24899999999994</v>
      </c>
      <c r="BR33" s="225">
        <f>BR28-SUM(BR29:BR32)+BR32</f>
        <v>206.97418854000006</v>
      </c>
      <c r="BS33" s="225">
        <f>BS28-SUM(BS29:BS32)</f>
        <v>312.57482402399989</v>
      </c>
      <c r="BT33" s="225">
        <f>BT28-SUM(BT29:BT32)</f>
        <v>388.41435674448007</v>
      </c>
      <c r="BU33" s="225">
        <f>BU28-SUM(BU29:BU32)</f>
        <v>470.12269210446516</v>
      </c>
      <c r="BV33" s="225">
        <f>BV28-SUM(BV29:BV32)</f>
        <v>560.24668400627274</v>
      </c>
      <c r="BW33" s="225">
        <f>BW28-SUM(BW29:BW32)</f>
        <v>646.49398394470836</v>
      </c>
      <c r="BX33" s="225">
        <f t="shared" ref="BX33:CA33" si="101">BX28-SUM(BX29:BX32)</f>
        <v>749.57239738635849</v>
      </c>
      <c r="BY33" s="225">
        <f t="shared" si="101"/>
        <v>848.31550097706349</v>
      </c>
      <c r="BZ33" s="225">
        <f t="shared" si="101"/>
        <v>988.44278876147018</v>
      </c>
      <c r="CA33" s="225">
        <f t="shared" si="101"/>
        <v>1170.7134372072628</v>
      </c>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c r="CY33" s="225"/>
      <c r="CZ33" s="225"/>
      <c r="DA33" s="225"/>
      <c r="DB33" s="225"/>
      <c r="DC33" s="225"/>
      <c r="DD33" s="225"/>
      <c r="DE33" s="225"/>
      <c r="DF33" s="225"/>
      <c r="DG33" s="225"/>
      <c r="DH33" s="225"/>
      <c r="DI33" s="225"/>
      <c r="DJ33" s="225"/>
      <c r="DK33" s="225"/>
      <c r="DL33" s="225"/>
      <c r="DM33" s="225"/>
      <c r="DN33" s="225"/>
      <c r="DO33" s="225"/>
    </row>
    <row r="34" spans="2:119" ht="13.5" customHeight="1">
      <c r="B34" s="204" t="s">
        <v>293</v>
      </c>
      <c r="C34" s="223">
        <v>0.3</v>
      </c>
      <c r="D34" s="223">
        <v>-0.4</v>
      </c>
      <c r="E34" s="223">
        <v>-0.1</v>
      </c>
      <c r="F34" s="223">
        <v>0.1</v>
      </c>
      <c r="G34" s="223">
        <v>0.3</v>
      </c>
      <c r="H34" s="223">
        <v>0.3</v>
      </c>
      <c r="I34" s="223">
        <v>0.3</v>
      </c>
      <c r="J34" s="223">
        <v>-0.4</v>
      </c>
      <c r="K34" s="223">
        <v>0.3</v>
      </c>
      <c r="L34" s="223">
        <v>0.4</v>
      </c>
      <c r="M34" s="223">
        <v>0.6</v>
      </c>
      <c r="N34" s="223">
        <v>0</v>
      </c>
      <c r="O34" s="223">
        <v>0.5</v>
      </c>
      <c r="P34" s="223">
        <v>0.4</v>
      </c>
      <c r="Q34" s="223">
        <v>0.9</v>
      </c>
      <c r="R34" s="223">
        <v>0.7</v>
      </c>
      <c r="S34" s="223">
        <f>0.733+0.024</f>
        <v>0.75700000000000001</v>
      </c>
      <c r="T34" s="223">
        <f>0.784-0.071</f>
        <v>0.71300000000000008</v>
      </c>
      <c r="U34" s="223">
        <f>0.759-0.772</f>
        <v>-1.3000000000000012E-2</v>
      </c>
      <c r="V34" s="223">
        <f>2.854-0.227-SUM(S34:U34)</f>
        <v>1.17</v>
      </c>
      <c r="W34" s="223">
        <f>0.299-1.555</f>
        <v>-1.256</v>
      </c>
      <c r="X34" s="223">
        <f>0.108+0.508</f>
        <v>0.61599999999999999</v>
      </c>
      <c r="Y34" s="223">
        <f>0.413+0.014</f>
        <v>0.42699999999999999</v>
      </c>
      <c r="Z34" s="223">
        <f>1.267-0.243-SUM(W34:Y34)</f>
        <v>1.2370000000000001</v>
      </c>
      <c r="AA34" s="223">
        <f>0.48-1.476</f>
        <v>-0.996</v>
      </c>
      <c r="AB34" s="223">
        <f>0.299-0.408</f>
        <v>-0.10899999999999999</v>
      </c>
      <c r="AC34" s="223">
        <f>0.138-1.137</f>
        <v>-0.999</v>
      </c>
      <c r="AD34" s="223">
        <f>0.938-3.939-SUM(AA34:AC34)</f>
        <v>-0.89700000000000024</v>
      </c>
      <c r="AE34" s="223">
        <f>-0.041-1.01</f>
        <v>-1.0509999999999999</v>
      </c>
      <c r="AF34" s="223">
        <f>-0.07-0.9</f>
        <v>-0.97</v>
      </c>
      <c r="AG34" s="223">
        <f>-0.04-2.35</f>
        <v>-2.39</v>
      </c>
      <c r="AH34" s="223">
        <f>0.137-2.327-SUM(AE34:AG34)</f>
        <v>2.2209999999999996</v>
      </c>
      <c r="AI34" s="223">
        <v>0.64400000000000002</v>
      </c>
      <c r="AJ34" s="223">
        <v>1.6</v>
      </c>
      <c r="AK34" s="223">
        <v>0.7</v>
      </c>
      <c r="AL34" s="223">
        <f>6.09-SUM(AI34:AK34)</f>
        <v>3.1459999999999999</v>
      </c>
      <c r="AM34" s="223">
        <v>2.5</v>
      </c>
      <c r="AN34" s="223">
        <v>3.1</v>
      </c>
      <c r="AO34" s="223">
        <v>4.4000000000000004</v>
      </c>
      <c r="AP34" s="223">
        <f>11.59-SUM(AM34:AO34)</f>
        <v>1.5899999999999999</v>
      </c>
      <c r="AQ34" s="223">
        <v>3.508</v>
      </c>
      <c r="AR34" s="223">
        <v>4.4820000000000002</v>
      </c>
      <c r="AS34" s="223">
        <v>3.4870000000000001</v>
      </c>
      <c r="AT34" s="223">
        <f>15.876-SUM(AQ34:AS34)</f>
        <v>4.3989999999999991</v>
      </c>
      <c r="AU34" s="223">
        <v>3.4540000000000002</v>
      </c>
      <c r="AV34" s="223">
        <v>5.1479999999999997</v>
      </c>
      <c r="AW34" s="225">
        <f>AV50*0.045</f>
        <v>9.2371949999999998</v>
      </c>
      <c r="AX34" s="225">
        <f>AW50*0.045</f>
        <v>11.409794999999999</v>
      </c>
      <c r="AY34" s="209"/>
      <c r="BG34" s="223">
        <f t="shared" si="79"/>
        <v>-0.10000000000000003</v>
      </c>
      <c r="BH34" s="223">
        <f t="shared" si="80"/>
        <v>0.49999999999999989</v>
      </c>
      <c r="BI34" s="223">
        <f t="shared" si="81"/>
        <v>1.2999999999999998</v>
      </c>
      <c r="BJ34" s="223">
        <f t="shared" si="82"/>
        <v>2.5</v>
      </c>
      <c r="BK34" s="223">
        <f>SUM(S34:V34)</f>
        <v>2.6270000000000002</v>
      </c>
      <c r="BL34" s="223">
        <f>SUM(W34:Z34)</f>
        <v>1.024</v>
      </c>
      <c r="BM34" s="223">
        <f>SUM(AA34:AD34)</f>
        <v>-3.0010000000000003</v>
      </c>
      <c r="BN34" s="223">
        <f>SUM(AE34:AH34)</f>
        <v>-2.19</v>
      </c>
      <c r="BO34" s="223">
        <f>SUM(AI34:AL34)</f>
        <v>6.09</v>
      </c>
      <c r="BP34" s="223">
        <f>SUM(AM34:AP34)</f>
        <v>11.59</v>
      </c>
      <c r="BQ34" s="223">
        <f t="shared" si="83"/>
        <v>15.875999999999999</v>
      </c>
      <c r="BR34" s="225">
        <f>BQ50*$CA$53</f>
        <v>29.9024</v>
      </c>
      <c r="BS34" s="225">
        <f t="shared" ref="BS34:CA34" si="102">BR50*$CA$53</f>
        <v>63.254623666432011</v>
      </c>
      <c r="BT34" s="225">
        <f t="shared" si="102"/>
        <v>110.15813873819792</v>
      </c>
      <c r="BU34" s="225">
        <f t="shared" si="102"/>
        <v>172.37998617443614</v>
      </c>
      <c r="BV34" s="225">
        <f t="shared" si="102"/>
        <v>251.53631613839676</v>
      </c>
      <c r="BW34" s="225">
        <f t="shared" si="102"/>
        <v>351.54798175622005</v>
      </c>
      <c r="BX34" s="225">
        <f t="shared" si="102"/>
        <v>474.50675193057441</v>
      </c>
      <c r="BY34" s="225">
        <f t="shared" si="102"/>
        <v>625.31330312642046</v>
      </c>
      <c r="BZ34" s="225">
        <f t="shared" si="102"/>
        <v>806.8643717919698</v>
      </c>
      <c r="CA34" s="225">
        <f t="shared" si="102"/>
        <v>1028.0462139721535</v>
      </c>
      <c r="CB34" s="225"/>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c r="CY34" s="225"/>
      <c r="CZ34" s="225"/>
      <c r="DA34" s="225"/>
      <c r="DB34" s="225"/>
      <c r="DC34" s="225"/>
      <c r="DD34" s="225"/>
      <c r="DE34" s="225"/>
      <c r="DF34" s="225"/>
      <c r="DG34" s="225"/>
      <c r="DH34" s="225"/>
      <c r="DI34" s="225"/>
      <c r="DJ34" s="225"/>
      <c r="DK34" s="225"/>
      <c r="DL34" s="225"/>
      <c r="DM34" s="225"/>
      <c r="DN34" s="225"/>
      <c r="DO34" s="225"/>
    </row>
    <row r="35" spans="2:119" ht="13.5" customHeight="1">
      <c r="B35" s="204" t="s">
        <v>294</v>
      </c>
      <c r="C35" s="223">
        <f t="shared" ref="C35:AJ35" si="103">C33+C34</f>
        <v>4.3</v>
      </c>
      <c r="D35" s="223">
        <f t="shared" si="103"/>
        <v>-4.2000000000000011</v>
      </c>
      <c r="E35" s="223">
        <f t="shared" si="103"/>
        <v>2.0999999999999992</v>
      </c>
      <c r="F35" s="223">
        <f t="shared" si="103"/>
        <v>1.8999999999999972</v>
      </c>
      <c r="G35" s="223">
        <f t="shared" si="103"/>
        <v>2.099999999999997</v>
      </c>
      <c r="H35" s="223">
        <f t="shared" si="103"/>
        <v>-0.40000000000000285</v>
      </c>
      <c r="I35" s="223">
        <f t="shared" si="103"/>
        <v>-1.0999999999999985</v>
      </c>
      <c r="J35" s="223">
        <f t="shared" si="103"/>
        <v>-1.6000000000000099</v>
      </c>
      <c r="K35" s="223">
        <f t="shared" si="103"/>
        <v>-1.7</v>
      </c>
      <c r="L35" s="223">
        <f t="shared" si="103"/>
        <v>-0.90000000000001135</v>
      </c>
      <c r="M35" s="223">
        <f t="shared" si="103"/>
        <v>1.3000000000000029</v>
      </c>
      <c r="N35" s="223">
        <f t="shared" si="103"/>
        <v>3.8999999999999986</v>
      </c>
      <c r="O35" s="223">
        <f t="shared" si="103"/>
        <v>4.4999999999999929</v>
      </c>
      <c r="P35" s="223">
        <f t="shared" si="103"/>
        <v>9.6999999999999904</v>
      </c>
      <c r="Q35" s="223">
        <f t="shared" si="103"/>
        <v>-19.899999999999999</v>
      </c>
      <c r="R35" s="223">
        <f t="shared" si="103"/>
        <v>7.3999999999999746</v>
      </c>
      <c r="S35" s="223">
        <f t="shared" si="103"/>
        <v>11.909000000000001</v>
      </c>
      <c r="T35" s="223">
        <f t="shared" si="103"/>
        <v>13.513999999999989</v>
      </c>
      <c r="U35" s="223">
        <f t="shared" si="103"/>
        <v>12.963000000000001</v>
      </c>
      <c r="V35" s="223">
        <f t="shared" si="103"/>
        <v>11.747000000000098</v>
      </c>
      <c r="W35" s="223">
        <f t="shared" si="103"/>
        <v>-0.6549999999999867</v>
      </c>
      <c r="X35" s="223">
        <f t="shared" si="103"/>
        <v>-17.009000000000015</v>
      </c>
      <c r="Y35" s="223">
        <f t="shared" si="103"/>
        <v>-19.749000000000002</v>
      </c>
      <c r="Z35" s="223">
        <f t="shared" si="103"/>
        <v>-0.50499999999999012</v>
      </c>
      <c r="AA35" s="223">
        <f t="shared" si="103"/>
        <v>12.463000000000003</v>
      </c>
      <c r="AB35" s="223">
        <f t="shared" si="103"/>
        <v>10.223000000000022</v>
      </c>
      <c r="AC35" s="223">
        <f t="shared" si="103"/>
        <v>7.7739999999999823</v>
      </c>
      <c r="AD35" s="223">
        <f t="shared" si="103"/>
        <v>-40.962000000000081</v>
      </c>
      <c r="AE35" s="223">
        <f t="shared" si="103"/>
        <v>-5.1110000000000024</v>
      </c>
      <c r="AF35" s="223">
        <f t="shared" si="103"/>
        <v>-1.1440000000000066</v>
      </c>
      <c r="AG35" s="223">
        <f t="shared" si="103"/>
        <v>3.0199999999999965</v>
      </c>
      <c r="AH35" s="223">
        <f t="shared" si="103"/>
        <v>7.1269999999999492</v>
      </c>
      <c r="AI35" s="223">
        <f t="shared" si="103"/>
        <v>8.6940000000000399</v>
      </c>
      <c r="AJ35" s="223">
        <f t="shared" si="103"/>
        <v>19.600000000000001</v>
      </c>
      <c r="AK35" s="223">
        <f>AK33+AK34</f>
        <v>13.299999999999994</v>
      </c>
      <c r="AL35" s="223">
        <f t="shared" ref="AL35:AR35" si="104">AL33+AL34</f>
        <v>38.116000000000028</v>
      </c>
      <c r="AM35" s="223">
        <f t="shared" si="104"/>
        <v>14.699999999999989</v>
      </c>
      <c r="AN35" s="223">
        <f t="shared" si="104"/>
        <v>-77.80000000000004</v>
      </c>
      <c r="AO35" s="223">
        <f t="shared" si="104"/>
        <v>39.800000000000033</v>
      </c>
      <c r="AP35" s="223">
        <f t="shared" si="104"/>
        <v>44.150000000000006</v>
      </c>
      <c r="AQ35" s="223">
        <f t="shared" si="104"/>
        <v>43.857999999999997</v>
      </c>
      <c r="AR35" s="223">
        <f t="shared" si="104"/>
        <v>45.31</v>
      </c>
      <c r="AS35" s="223">
        <f>AS33+AS34</f>
        <v>52.324999999999996</v>
      </c>
      <c r="AT35" s="223">
        <f t="shared" ref="AT35:AV35" si="105">AT33+AT34</f>
        <v>63.631999999999948</v>
      </c>
      <c r="AU35" s="223">
        <f t="shared" si="105"/>
        <v>41.688000000000009</v>
      </c>
      <c r="AV35" s="223">
        <f t="shared" si="105"/>
        <v>46.186999999999983</v>
      </c>
      <c r="AW35" s="225">
        <f t="shared" ref="AW35:AX35" si="106">AW33+AW34</f>
        <v>74.374613500000024</v>
      </c>
      <c r="AX35" s="225">
        <f t="shared" si="106"/>
        <v>83.918248079999955</v>
      </c>
      <c r="AY35" s="209"/>
      <c r="BG35" s="223">
        <f t="shared" si="79"/>
        <v>4.0999999999999952</v>
      </c>
      <c r="BH35" s="223">
        <f t="shared" si="80"/>
        <v>-1.0000000000000142</v>
      </c>
      <c r="BI35" s="223">
        <f t="shared" si="81"/>
        <v>2.5999999999999903</v>
      </c>
      <c r="BJ35" s="223">
        <f t="shared" si="82"/>
        <v>1.6999999999999593</v>
      </c>
      <c r="BK35" s="223">
        <f t="shared" ref="BK35:BO35" si="107">BK33+BK34</f>
        <v>50.132999999999974</v>
      </c>
      <c r="BL35" s="223">
        <f t="shared" si="107"/>
        <v>-37.917999999999893</v>
      </c>
      <c r="BM35" s="223">
        <f t="shared" si="107"/>
        <v>-10.502000000000034</v>
      </c>
      <c r="BN35" s="223">
        <f t="shared" si="107"/>
        <v>3.8920000000001074</v>
      </c>
      <c r="BO35" s="223">
        <f t="shared" si="107"/>
        <v>79.710000000000008</v>
      </c>
      <c r="BP35" s="223">
        <f>BP33+BP34</f>
        <v>20.849999999999877</v>
      </c>
      <c r="BQ35" s="223">
        <f t="shared" si="83"/>
        <v>205.12499999999994</v>
      </c>
      <c r="BR35" s="225">
        <f t="shared" ref="BR35:BW35" si="108">BR33+BR34</f>
        <v>236.87658854000006</v>
      </c>
      <c r="BS35" s="225">
        <f t="shared" si="108"/>
        <v>375.82944769043189</v>
      </c>
      <c r="BT35" s="225">
        <f t="shared" si="108"/>
        <v>498.57249548267799</v>
      </c>
      <c r="BU35" s="225">
        <f t="shared" si="108"/>
        <v>642.50267827890127</v>
      </c>
      <c r="BV35" s="225">
        <f t="shared" si="108"/>
        <v>811.78300014466947</v>
      </c>
      <c r="BW35" s="225">
        <f t="shared" si="108"/>
        <v>998.04196570092836</v>
      </c>
      <c r="BX35" s="225">
        <f t="shared" ref="BX35:CA35" si="109">BX33+BX34</f>
        <v>1224.0791493169329</v>
      </c>
      <c r="BY35" s="225">
        <f t="shared" si="109"/>
        <v>1473.6288041034841</v>
      </c>
      <c r="BZ35" s="225">
        <f t="shared" si="109"/>
        <v>1795.3071605534401</v>
      </c>
      <c r="CA35" s="225">
        <f t="shared" si="109"/>
        <v>2198.7596511794163</v>
      </c>
      <c r="CB35" s="225"/>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c r="CY35" s="225"/>
      <c r="CZ35" s="225"/>
      <c r="DA35" s="225"/>
      <c r="DB35" s="225"/>
      <c r="DC35" s="225"/>
      <c r="DD35" s="225"/>
      <c r="DE35" s="225"/>
      <c r="DF35" s="225"/>
      <c r="DG35" s="225"/>
      <c r="DH35" s="225"/>
      <c r="DI35" s="225"/>
      <c r="DJ35" s="225"/>
      <c r="DK35" s="225"/>
      <c r="DL35" s="225"/>
      <c r="DM35" s="225"/>
      <c r="DN35" s="225"/>
      <c r="DO35" s="225"/>
    </row>
    <row r="36" spans="2:119" ht="13.5" customHeight="1">
      <c r="B36" s="204" t="s">
        <v>573</v>
      </c>
      <c r="C36" s="223">
        <v>1.7</v>
      </c>
      <c r="D36" s="223">
        <v>-1.5</v>
      </c>
      <c r="E36" s="223">
        <v>1.2</v>
      </c>
      <c r="F36" s="223">
        <v>0.2</v>
      </c>
      <c r="G36" s="223">
        <v>-0.2</v>
      </c>
      <c r="H36" s="223">
        <v>-3.4</v>
      </c>
      <c r="I36" s="223">
        <v>-13</v>
      </c>
      <c r="J36" s="223">
        <v>0.9</v>
      </c>
      <c r="K36" s="223">
        <v>1.4</v>
      </c>
      <c r="L36" s="223">
        <v>0.5</v>
      </c>
      <c r="M36" s="223">
        <v>0.5</v>
      </c>
      <c r="N36" s="223">
        <v>-5.9</v>
      </c>
      <c r="O36" s="223">
        <v>-1.9</v>
      </c>
      <c r="P36" s="223">
        <v>-4.9000000000000004</v>
      </c>
      <c r="Q36" s="223">
        <v>1.6</v>
      </c>
      <c r="R36" s="223">
        <v>0.9</v>
      </c>
      <c r="S36" s="223">
        <v>1.4550000000000001</v>
      </c>
      <c r="T36" s="223">
        <v>-2.7349999999999999</v>
      </c>
      <c r="U36" s="223">
        <v>1.9630000000000001</v>
      </c>
      <c r="V36" s="223">
        <f>3.131-SUM(S36:U36)</f>
        <v>2.4479999999999995</v>
      </c>
      <c r="W36" s="223">
        <v>-1.6339999999999999</v>
      </c>
      <c r="X36" s="223">
        <v>-4.1289999999999996</v>
      </c>
      <c r="Y36" s="223">
        <v>-9.8550000000000004</v>
      </c>
      <c r="Z36" s="223">
        <f>-18.761-SUM(W36:Y36)</f>
        <v>-3.1429999999999989</v>
      </c>
      <c r="AA36" s="223">
        <v>1.5409999999999999</v>
      </c>
      <c r="AB36" s="223">
        <v>1.9</v>
      </c>
      <c r="AC36" s="223">
        <v>-0.249</v>
      </c>
      <c r="AD36" s="223">
        <f>-13.125-SUM(AA36:AC36)</f>
        <v>-16.317</v>
      </c>
      <c r="AE36" s="223">
        <v>-5.1829999999999998</v>
      </c>
      <c r="AF36" s="223">
        <v>2.52</v>
      </c>
      <c r="AG36" s="223">
        <v>5.3</v>
      </c>
      <c r="AH36" s="223">
        <f>5.894-SUM(AE36:AG36)</f>
        <v>3.2570000000000001</v>
      </c>
      <c r="AI36" s="223">
        <v>0.09</v>
      </c>
      <c r="AJ36" s="223">
        <v>0.5</v>
      </c>
      <c r="AK36" s="223">
        <v>4.09</v>
      </c>
      <c r="AL36" s="223">
        <f>-11.3-SUM(AI36:AK36)</f>
        <v>-15.98</v>
      </c>
      <c r="AM36" s="223">
        <v>3.6</v>
      </c>
      <c r="AN36" s="223">
        <v>-17.600000000000001</v>
      </c>
      <c r="AO36" s="223">
        <v>10.3</v>
      </c>
      <c r="AP36" s="223">
        <f>6.86-SUM(AM36:AO36)</f>
        <v>10.560000000000002</v>
      </c>
      <c r="AQ36" s="223">
        <v>4.6349999999999998</v>
      </c>
      <c r="AR36" s="223">
        <v>0.04</v>
      </c>
      <c r="AS36" s="223">
        <v>6.4740000000000002</v>
      </c>
      <c r="AT36" s="223">
        <f>27.438-SUM(AQ36:AS36)</f>
        <v>16.288999999999998</v>
      </c>
      <c r="AU36" s="223">
        <v>9.1039999999999992</v>
      </c>
      <c r="AV36" s="223">
        <v>11.375999999999999</v>
      </c>
      <c r="AW36" s="225">
        <f>AW35*AW47</f>
        <v>17.106161105000005</v>
      </c>
      <c r="AX36" s="225">
        <f>AX35*AX47</f>
        <v>19.301197058399989</v>
      </c>
      <c r="AY36" s="209"/>
      <c r="BG36" s="223">
        <f t="shared" si="79"/>
        <v>1.5999999999999999</v>
      </c>
      <c r="BH36" s="223">
        <f t="shared" si="80"/>
        <v>-15.700000000000001</v>
      </c>
      <c r="BI36" s="223">
        <f t="shared" si="81"/>
        <v>-3.5000000000000004</v>
      </c>
      <c r="BJ36" s="223">
        <f t="shared" si="82"/>
        <v>-4.3000000000000007</v>
      </c>
      <c r="BK36" s="223">
        <f>SUM(S36:V36)</f>
        <v>3.1309999999999998</v>
      </c>
      <c r="BL36" s="223">
        <f>SUM(W36:Z36)</f>
        <v>-18.760999999999999</v>
      </c>
      <c r="BM36" s="223">
        <f>SUM(AA36:AD36)</f>
        <v>-13.125</v>
      </c>
      <c r="BN36" s="223">
        <f>SUM(AE36:AH36)</f>
        <v>5.8940000000000001</v>
      </c>
      <c r="BO36" s="223">
        <f>SUM(AI36:AL36)</f>
        <v>-11.3</v>
      </c>
      <c r="BP36" s="223">
        <f>SUM(AM36:AP36)</f>
        <v>6.8600000000000012</v>
      </c>
      <c r="BQ36" s="223">
        <f t="shared" si="83"/>
        <v>27.437999999999999</v>
      </c>
      <c r="BR36" s="225">
        <f t="shared" ref="BR36:CA36" si="110">BR35*BR47</f>
        <v>28.425190624800006</v>
      </c>
      <c r="BS36" s="225">
        <f t="shared" si="110"/>
        <v>82.682478491895012</v>
      </c>
      <c r="BT36" s="225">
        <f t="shared" si="110"/>
        <v>109.68594900618916</v>
      </c>
      <c r="BU36" s="225">
        <f t="shared" si="110"/>
        <v>147.77561600414731</v>
      </c>
      <c r="BV36" s="225">
        <f t="shared" si="110"/>
        <v>186.71009003327399</v>
      </c>
      <c r="BW36" s="225">
        <f t="shared" si="110"/>
        <v>229.54965211121353</v>
      </c>
      <c r="BX36" s="225">
        <f t="shared" si="110"/>
        <v>281.53820434289457</v>
      </c>
      <c r="BY36" s="225">
        <f t="shared" si="110"/>
        <v>338.93462494380134</v>
      </c>
      <c r="BZ36" s="225">
        <f t="shared" si="110"/>
        <v>412.92064692729122</v>
      </c>
      <c r="CA36" s="225">
        <f t="shared" si="110"/>
        <v>505.71471977126578</v>
      </c>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c r="CY36" s="225"/>
      <c r="CZ36" s="225"/>
      <c r="DA36" s="225"/>
      <c r="DB36" s="225"/>
      <c r="DC36" s="225"/>
      <c r="DD36" s="225"/>
      <c r="DE36" s="225"/>
      <c r="DF36" s="225"/>
      <c r="DG36" s="225"/>
      <c r="DH36" s="225"/>
      <c r="DI36" s="225"/>
      <c r="DJ36" s="225"/>
      <c r="DK36" s="225"/>
      <c r="DL36" s="225"/>
      <c r="DM36" s="225"/>
      <c r="DN36" s="225"/>
      <c r="DO36" s="225"/>
    </row>
    <row r="37" spans="2:119" ht="13.5" customHeight="1">
      <c r="B37" s="204" t="s">
        <v>489</v>
      </c>
      <c r="C37" s="223">
        <v>2.5</v>
      </c>
      <c r="D37" s="223">
        <v>-2.7</v>
      </c>
      <c r="E37" s="223">
        <v>0.9</v>
      </c>
      <c r="F37" s="223">
        <v>1.6</v>
      </c>
      <c r="G37" s="223">
        <v>2.2999999999999998</v>
      </c>
      <c r="H37" s="223">
        <v>3</v>
      </c>
      <c r="I37" s="223">
        <v>11.9</v>
      </c>
      <c r="J37" s="223">
        <v>-2.4</v>
      </c>
      <c r="K37" s="223">
        <v>-3.1</v>
      </c>
      <c r="L37" s="223">
        <v>-1.6</v>
      </c>
      <c r="M37" s="223">
        <v>0.2</v>
      </c>
      <c r="N37" s="223">
        <v>9.1</v>
      </c>
      <c r="O37" s="223">
        <v>5.5</v>
      </c>
      <c r="P37" s="223">
        <v>13.4</v>
      </c>
      <c r="Q37" s="223">
        <v>-22.4</v>
      </c>
      <c r="R37" s="223">
        <v>6.5</v>
      </c>
      <c r="S37" s="223">
        <f t="shared" ref="S37:AN37" si="111">S35-S36</f>
        <v>10.454000000000001</v>
      </c>
      <c r="T37" s="223">
        <f t="shared" si="111"/>
        <v>16.248999999999988</v>
      </c>
      <c r="U37" s="223">
        <f t="shared" si="111"/>
        <v>11</v>
      </c>
      <c r="V37" s="223">
        <f t="shared" si="111"/>
        <v>9.299000000000099</v>
      </c>
      <c r="W37" s="223">
        <f t="shared" si="111"/>
        <v>0.97900000000001319</v>
      </c>
      <c r="X37" s="223">
        <f t="shared" si="111"/>
        <v>-12.880000000000015</v>
      </c>
      <c r="Y37" s="223">
        <f t="shared" si="111"/>
        <v>-9.8940000000000019</v>
      </c>
      <c r="Z37" s="223">
        <f t="shared" si="111"/>
        <v>2.6380000000000088</v>
      </c>
      <c r="AA37" s="223">
        <f t="shared" si="111"/>
        <v>10.922000000000002</v>
      </c>
      <c r="AB37" s="223">
        <f t="shared" si="111"/>
        <v>8.3230000000000217</v>
      </c>
      <c r="AC37" s="223">
        <f t="shared" si="111"/>
        <v>8.0229999999999819</v>
      </c>
      <c r="AD37" s="223">
        <f t="shared" si="111"/>
        <v>-24.645000000000081</v>
      </c>
      <c r="AE37" s="223">
        <f t="shared" si="111"/>
        <v>7.1999999999997399E-2</v>
      </c>
      <c r="AF37" s="223">
        <f t="shared" si="111"/>
        <v>-3.6640000000000068</v>
      </c>
      <c r="AG37" s="223">
        <f t="shared" si="111"/>
        <v>-2.2800000000000034</v>
      </c>
      <c r="AH37" s="223">
        <f t="shared" si="111"/>
        <v>3.869999999999949</v>
      </c>
      <c r="AI37" s="223">
        <f t="shared" si="111"/>
        <v>8.6040000000000401</v>
      </c>
      <c r="AJ37" s="223">
        <f t="shared" si="111"/>
        <v>19.100000000000001</v>
      </c>
      <c r="AK37" s="223">
        <f t="shared" si="111"/>
        <v>9.2099999999999937</v>
      </c>
      <c r="AL37" s="223">
        <f t="shared" si="111"/>
        <v>54.096000000000032</v>
      </c>
      <c r="AM37" s="223">
        <f t="shared" si="111"/>
        <v>11.099999999999989</v>
      </c>
      <c r="AN37" s="223">
        <f t="shared" si="111"/>
        <v>-60.200000000000038</v>
      </c>
      <c r="AO37" s="223">
        <f>AO35-AO36</f>
        <v>29.500000000000032</v>
      </c>
      <c r="AP37" s="223">
        <f t="shared" ref="AP37" si="112">AP35-AP36</f>
        <v>33.590000000000003</v>
      </c>
      <c r="AQ37" s="223">
        <f>AQ35-AQ36</f>
        <v>39.222999999999999</v>
      </c>
      <c r="AR37" s="223">
        <f>AR35-AR36</f>
        <v>45.27</v>
      </c>
      <c r="AS37" s="223">
        <f>AS35-AS36</f>
        <v>45.850999999999999</v>
      </c>
      <c r="AT37" s="223">
        <f t="shared" ref="AT37:AV37" si="113">AT35-AT36</f>
        <v>47.342999999999947</v>
      </c>
      <c r="AU37" s="223">
        <f t="shared" si="113"/>
        <v>32.58400000000001</v>
      </c>
      <c r="AV37" s="223">
        <f t="shared" si="113"/>
        <v>34.810999999999986</v>
      </c>
      <c r="AW37" s="225">
        <f t="shared" ref="AW37:AX37" si="114">AW35-AW36</f>
        <v>57.268452395000018</v>
      </c>
      <c r="AX37" s="225">
        <f t="shared" si="114"/>
        <v>64.617051021599963</v>
      </c>
      <c r="AY37" s="209"/>
      <c r="BG37" s="223">
        <f t="shared" si="79"/>
        <v>2.2999999999999998</v>
      </c>
      <c r="BH37" s="223">
        <f t="shared" si="80"/>
        <v>14.799999999999999</v>
      </c>
      <c r="BI37" s="223">
        <f t="shared" si="81"/>
        <v>4.5999999999999996</v>
      </c>
      <c r="BJ37" s="223">
        <f t="shared" si="82"/>
        <v>3</v>
      </c>
      <c r="BK37" s="223">
        <f t="shared" ref="BK37:BO37" si="115">BK35-BK36</f>
        <v>47.001999999999974</v>
      </c>
      <c r="BL37" s="223">
        <f t="shared" si="115"/>
        <v>-19.156999999999893</v>
      </c>
      <c r="BM37" s="223">
        <f t="shared" si="115"/>
        <v>2.6229999999999656</v>
      </c>
      <c r="BN37" s="223">
        <f t="shared" si="115"/>
        <v>-2.0019999999998928</v>
      </c>
      <c r="BO37" s="223">
        <f t="shared" si="115"/>
        <v>91.01</v>
      </c>
      <c r="BP37" s="223">
        <f>BP35-BP36</f>
        <v>13.989999999999876</v>
      </c>
      <c r="BQ37" s="223">
        <f t="shared" si="83"/>
        <v>177.68699999999995</v>
      </c>
      <c r="BR37" s="225">
        <f>BR35-BR36</f>
        <v>208.45139791520006</v>
      </c>
      <c r="BS37" s="225">
        <f t="shared" ref="BS37:BW37" si="116">BS35-BS36</f>
        <v>293.14696919853691</v>
      </c>
      <c r="BT37" s="225">
        <f t="shared" si="116"/>
        <v>388.88654647648883</v>
      </c>
      <c r="BU37" s="225">
        <f t="shared" si="116"/>
        <v>494.72706227475396</v>
      </c>
      <c r="BV37" s="225">
        <f t="shared" si="116"/>
        <v>625.07291011139546</v>
      </c>
      <c r="BW37" s="225">
        <f t="shared" si="116"/>
        <v>768.49231358971485</v>
      </c>
      <c r="BX37" s="225">
        <f t="shared" ref="BX37:CA37" si="117">BX35-BX36</f>
        <v>942.54094497403833</v>
      </c>
      <c r="BY37" s="225">
        <f t="shared" si="117"/>
        <v>1134.6941791596828</v>
      </c>
      <c r="BZ37" s="225">
        <f t="shared" si="117"/>
        <v>1382.3865136261488</v>
      </c>
      <c r="CA37" s="225">
        <f t="shared" si="117"/>
        <v>1693.0449314081507</v>
      </c>
      <c r="CB37" s="225"/>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c r="CY37" s="225"/>
      <c r="CZ37" s="225"/>
      <c r="DA37" s="225"/>
      <c r="DB37" s="225"/>
      <c r="DC37" s="225"/>
      <c r="DD37" s="225"/>
      <c r="DE37" s="225"/>
      <c r="DF37" s="225"/>
      <c r="DG37" s="225"/>
      <c r="DH37" s="225"/>
      <c r="DI37" s="225"/>
      <c r="DJ37" s="225"/>
      <c r="DK37" s="225"/>
      <c r="DL37" s="225"/>
      <c r="DM37" s="225"/>
      <c r="DN37" s="225"/>
      <c r="DO37" s="225"/>
    </row>
    <row r="38" spans="2:119" ht="13.5" customHeight="1">
      <c r="B38" s="204" t="s">
        <v>1577</v>
      </c>
      <c r="C38" s="223">
        <v>2</v>
      </c>
      <c r="D38" s="223">
        <v>-2.15</v>
      </c>
      <c r="E38" s="223">
        <v>0.57999999999999996</v>
      </c>
      <c r="F38" s="223">
        <v>0.85</v>
      </c>
      <c r="G38" s="223">
        <v>-0.2</v>
      </c>
      <c r="H38" s="223">
        <v>0</v>
      </c>
      <c r="I38" s="223">
        <v>-0.3</v>
      </c>
      <c r="J38" s="223">
        <v>0</v>
      </c>
      <c r="K38" s="223">
        <v>0</v>
      </c>
      <c r="L38" s="223">
        <v>0</v>
      </c>
      <c r="M38" s="223">
        <v>0</v>
      </c>
      <c r="N38" s="223">
        <v>0</v>
      </c>
      <c r="O38" s="223">
        <v>0</v>
      </c>
      <c r="P38" s="223">
        <v>0</v>
      </c>
      <c r="Q38" s="223">
        <v>-3.5</v>
      </c>
      <c r="R38" s="223">
        <v>-0.02</v>
      </c>
      <c r="S38" s="223">
        <v>-0.24399999999999999</v>
      </c>
      <c r="T38" s="223">
        <v>-0.53700000000000003</v>
      </c>
      <c r="U38" s="223">
        <v>-0.48299999999999998</v>
      </c>
      <c r="V38" s="223">
        <f>-1.454-SUM(S38:U38)</f>
        <v>-0.18999999999999995</v>
      </c>
      <c r="W38" s="223">
        <v>-0.53700000000000003</v>
      </c>
      <c r="X38" s="223">
        <v>-0.94</v>
      </c>
      <c r="Y38" s="223">
        <v>-1.0609999999999999</v>
      </c>
      <c r="Z38" s="223">
        <f>-3.555-SUM(W38:Y38)</f>
        <v>-1.0170000000000003</v>
      </c>
      <c r="AA38" s="223">
        <v>-0.91</v>
      </c>
      <c r="AB38" s="223">
        <v>-0.93200000000000005</v>
      </c>
      <c r="AC38" s="223">
        <v>-0.81899999999999995</v>
      </c>
      <c r="AD38" s="223">
        <f>-2.641-SUM(AA38:AC38)</f>
        <v>2.0000000000000018E-2</v>
      </c>
      <c r="AE38" s="223">
        <v>0</v>
      </c>
      <c r="AF38" s="223">
        <v>0</v>
      </c>
      <c r="AG38" s="223">
        <v>0</v>
      </c>
      <c r="AH38" s="223">
        <v>0</v>
      </c>
      <c r="AI38" s="223">
        <v>0</v>
      </c>
      <c r="AJ38" s="223">
        <v>0</v>
      </c>
      <c r="AK38" s="223">
        <v>0</v>
      </c>
      <c r="AL38" s="223">
        <v>0</v>
      </c>
      <c r="AM38" s="223">
        <v>0</v>
      </c>
      <c r="AN38" s="223">
        <v>0</v>
      </c>
      <c r="AO38" s="223">
        <v>0</v>
      </c>
      <c r="AP38" s="223">
        <v>0</v>
      </c>
      <c r="AQ38" s="223">
        <v>0</v>
      </c>
      <c r="AR38" s="223">
        <v>0</v>
      </c>
      <c r="AS38" s="223">
        <v>0</v>
      </c>
      <c r="AT38" s="223">
        <v>0</v>
      </c>
      <c r="AU38" s="223">
        <v>0</v>
      </c>
      <c r="AV38" s="223">
        <v>0</v>
      </c>
      <c r="AW38" s="225">
        <v>0</v>
      </c>
      <c r="AX38" s="225">
        <v>0</v>
      </c>
      <c r="AY38" s="209"/>
      <c r="BG38" s="223">
        <f t="shared" si="79"/>
        <v>1.28</v>
      </c>
      <c r="BH38" s="223">
        <f t="shared" si="80"/>
        <v>-0.5</v>
      </c>
      <c r="BI38" s="223">
        <f t="shared" si="81"/>
        <v>0</v>
      </c>
      <c r="BJ38" s="223">
        <f t="shared" si="82"/>
        <v>-3.52</v>
      </c>
      <c r="BK38" s="223">
        <f>SUM(S38:V38)</f>
        <v>-1.454</v>
      </c>
      <c r="BL38" s="223">
        <v>-3.5550000000000002</v>
      </c>
      <c r="BM38" s="223">
        <v>-2.661</v>
      </c>
      <c r="BN38" s="223">
        <v>0</v>
      </c>
      <c r="BO38" s="223">
        <v>0</v>
      </c>
      <c r="BP38" s="223">
        <v>0</v>
      </c>
      <c r="BQ38" s="223">
        <f t="shared" si="83"/>
        <v>0</v>
      </c>
      <c r="BR38" s="225">
        <v>0</v>
      </c>
      <c r="BS38" s="225">
        <v>0</v>
      </c>
      <c r="BT38" s="225">
        <v>0</v>
      </c>
      <c r="BU38" s="225">
        <v>0</v>
      </c>
      <c r="BV38" s="225">
        <v>0</v>
      </c>
      <c r="BW38" s="225">
        <v>0</v>
      </c>
      <c r="BX38" s="225">
        <v>0</v>
      </c>
      <c r="BY38" s="225">
        <v>0</v>
      </c>
      <c r="BZ38" s="225">
        <v>0</v>
      </c>
      <c r="CA38" s="225">
        <v>0</v>
      </c>
      <c r="CB38" s="225"/>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c r="CY38" s="225"/>
      <c r="CZ38" s="225"/>
      <c r="DA38" s="225"/>
      <c r="DB38" s="225"/>
      <c r="DC38" s="225"/>
      <c r="DD38" s="225"/>
      <c r="DE38" s="225"/>
      <c r="DF38" s="225"/>
      <c r="DG38" s="225"/>
      <c r="DH38" s="225"/>
      <c r="DI38" s="225"/>
      <c r="DJ38" s="225"/>
      <c r="DK38" s="225"/>
      <c r="DL38" s="225"/>
      <c r="DM38" s="225"/>
      <c r="DN38" s="225"/>
      <c r="DO38" s="225"/>
    </row>
    <row r="39" spans="2:119" s="210" customFormat="1" ht="13.5" customHeight="1">
      <c r="B39" s="210" t="s">
        <v>490</v>
      </c>
      <c r="C39" s="206">
        <f>C37-C38</f>
        <v>0.5</v>
      </c>
      <c r="D39" s="206">
        <f t="shared" ref="D39:R39" si="118">D37-D38</f>
        <v>-0.55000000000000027</v>
      </c>
      <c r="E39" s="206">
        <f t="shared" si="118"/>
        <v>0.32000000000000006</v>
      </c>
      <c r="F39" s="206">
        <f t="shared" si="118"/>
        <v>0.75000000000000011</v>
      </c>
      <c r="G39" s="206">
        <f t="shared" si="118"/>
        <v>2.5</v>
      </c>
      <c r="H39" s="206">
        <f t="shared" si="118"/>
        <v>3</v>
      </c>
      <c r="I39" s="206">
        <f t="shared" si="118"/>
        <v>12.200000000000001</v>
      </c>
      <c r="J39" s="206">
        <f t="shared" si="118"/>
        <v>-2.4</v>
      </c>
      <c r="K39" s="206">
        <f t="shared" si="118"/>
        <v>-3.1</v>
      </c>
      <c r="L39" s="206">
        <f t="shared" si="118"/>
        <v>-1.6</v>
      </c>
      <c r="M39" s="206">
        <f t="shared" si="118"/>
        <v>0.2</v>
      </c>
      <c r="N39" s="206">
        <f t="shared" si="118"/>
        <v>9.1</v>
      </c>
      <c r="O39" s="206">
        <f t="shared" si="118"/>
        <v>5.5</v>
      </c>
      <c r="P39" s="206">
        <f t="shared" si="118"/>
        <v>13.4</v>
      </c>
      <c r="Q39" s="206">
        <f t="shared" si="118"/>
        <v>-18.899999999999999</v>
      </c>
      <c r="R39" s="206">
        <f t="shared" si="118"/>
        <v>6.52</v>
      </c>
      <c r="S39" s="206">
        <f>S37-S38</f>
        <v>10.698</v>
      </c>
      <c r="T39" s="206">
        <f>T37-T38</f>
        <v>16.785999999999987</v>
      </c>
      <c r="U39" s="206">
        <f>U37-U38</f>
        <v>11.483000000000001</v>
      </c>
      <c r="V39" s="206">
        <f>V37-V38</f>
        <v>9.4890000000000985</v>
      </c>
      <c r="W39" s="206">
        <f>W37-W38</f>
        <v>1.5160000000000133</v>
      </c>
      <c r="X39" s="206">
        <f t="shared" ref="X39:AV39" si="119">X37-X38</f>
        <v>-11.940000000000015</v>
      </c>
      <c r="Y39" s="206">
        <f t="shared" si="119"/>
        <v>-8.833000000000002</v>
      </c>
      <c r="Z39" s="206">
        <f t="shared" si="119"/>
        <v>3.6550000000000091</v>
      </c>
      <c r="AA39" s="206">
        <f t="shared" si="119"/>
        <v>11.832000000000003</v>
      </c>
      <c r="AB39" s="206">
        <f t="shared" si="119"/>
        <v>9.2550000000000221</v>
      </c>
      <c r="AC39" s="206">
        <f t="shared" si="119"/>
        <v>8.841999999999981</v>
      </c>
      <c r="AD39" s="206">
        <f t="shared" si="119"/>
        <v>-24.665000000000081</v>
      </c>
      <c r="AE39" s="206">
        <f t="shared" si="119"/>
        <v>7.1999999999997399E-2</v>
      </c>
      <c r="AF39" s="206">
        <f t="shared" si="119"/>
        <v>-3.6640000000000068</v>
      </c>
      <c r="AG39" s="206">
        <f t="shared" si="119"/>
        <v>-2.2800000000000034</v>
      </c>
      <c r="AH39" s="206">
        <f t="shared" si="119"/>
        <v>3.869999999999949</v>
      </c>
      <c r="AI39" s="206">
        <f t="shared" si="119"/>
        <v>8.6040000000000401</v>
      </c>
      <c r="AJ39" s="206">
        <f t="shared" si="119"/>
        <v>19.100000000000001</v>
      </c>
      <c r="AK39" s="206">
        <f t="shared" si="119"/>
        <v>9.2099999999999937</v>
      </c>
      <c r="AL39" s="206">
        <f t="shared" si="119"/>
        <v>54.096000000000032</v>
      </c>
      <c r="AM39" s="206">
        <f t="shared" si="119"/>
        <v>11.099999999999989</v>
      </c>
      <c r="AN39" s="206">
        <f t="shared" si="119"/>
        <v>-60.200000000000038</v>
      </c>
      <c r="AO39" s="206">
        <f t="shared" si="119"/>
        <v>29.500000000000032</v>
      </c>
      <c r="AP39" s="206">
        <f t="shared" si="119"/>
        <v>33.590000000000003</v>
      </c>
      <c r="AQ39" s="206">
        <f t="shared" si="119"/>
        <v>39.222999999999999</v>
      </c>
      <c r="AR39" s="206">
        <f t="shared" si="119"/>
        <v>45.27</v>
      </c>
      <c r="AS39" s="206">
        <f t="shared" si="119"/>
        <v>45.850999999999999</v>
      </c>
      <c r="AT39" s="206">
        <f t="shared" si="119"/>
        <v>47.342999999999947</v>
      </c>
      <c r="AU39" s="206">
        <f t="shared" si="119"/>
        <v>32.58400000000001</v>
      </c>
      <c r="AV39" s="206">
        <f t="shared" si="119"/>
        <v>34.810999999999986</v>
      </c>
      <c r="AW39" s="224">
        <v>48.28</v>
      </c>
      <c r="AX39" s="224">
        <v>56.5</v>
      </c>
      <c r="AY39" s="224"/>
      <c r="AZ39" s="208"/>
      <c r="BA39" s="208"/>
      <c r="BB39" s="208"/>
      <c r="BG39" s="206">
        <f t="shared" si="79"/>
        <v>1.02</v>
      </c>
      <c r="BH39" s="206">
        <f t="shared" si="80"/>
        <v>15.300000000000002</v>
      </c>
      <c r="BI39" s="206">
        <f t="shared" si="81"/>
        <v>4.5999999999999996</v>
      </c>
      <c r="BJ39" s="206">
        <f t="shared" si="82"/>
        <v>6.52</v>
      </c>
      <c r="BK39" s="206">
        <f t="shared" ref="BK39:BO39" si="120">BK37-BK38</f>
        <v>48.455999999999975</v>
      </c>
      <c r="BL39" s="206">
        <f t="shared" si="120"/>
        <v>-15.601999999999894</v>
      </c>
      <c r="BM39" s="206">
        <f t="shared" si="120"/>
        <v>5.2839999999999652</v>
      </c>
      <c r="BN39" s="206">
        <f t="shared" si="120"/>
        <v>-2.0019999999998928</v>
      </c>
      <c r="BO39" s="206">
        <f t="shared" si="120"/>
        <v>91.01</v>
      </c>
      <c r="BP39" s="206">
        <f>BP37-BP38</f>
        <v>13.989999999999876</v>
      </c>
      <c r="BQ39" s="206">
        <f t="shared" si="83"/>
        <v>177.68699999999995</v>
      </c>
      <c r="BR39" s="224">
        <f>BR37-BR38</f>
        <v>208.45139791520006</v>
      </c>
      <c r="BS39" s="224">
        <f t="shared" ref="BS39:BW39" si="121">BS37-BS38</f>
        <v>293.14696919853691</v>
      </c>
      <c r="BT39" s="224">
        <f t="shared" si="121"/>
        <v>388.88654647648883</v>
      </c>
      <c r="BU39" s="224">
        <f t="shared" si="121"/>
        <v>494.72706227475396</v>
      </c>
      <c r="BV39" s="224">
        <f t="shared" si="121"/>
        <v>625.07291011139546</v>
      </c>
      <c r="BW39" s="224">
        <f t="shared" si="121"/>
        <v>768.49231358971485</v>
      </c>
      <c r="BX39" s="224">
        <f t="shared" ref="BX39:CA39" si="122">BX37-BX38</f>
        <v>942.54094497403833</v>
      </c>
      <c r="BY39" s="224">
        <f t="shared" si="122"/>
        <v>1134.6941791596828</v>
      </c>
      <c r="BZ39" s="224">
        <f t="shared" si="122"/>
        <v>1382.3865136261488</v>
      </c>
      <c r="CA39" s="224">
        <f t="shared" si="122"/>
        <v>1693.0449314081507</v>
      </c>
      <c r="CB39" s="224">
        <f t="shared" ref="CB39:DO39" si="123">CA39*(1+$CA$54)</f>
        <v>1734.5245322276503</v>
      </c>
      <c r="CC39" s="224">
        <f t="shared" si="123"/>
        <v>1777.0203832672278</v>
      </c>
      <c r="CD39" s="224">
        <f t="shared" si="123"/>
        <v>1820.5573826572747</v>
      </c>
      <c r="CE39" s="224">
        <f t="shared" si="123"/>
        <v>1865.1610385323779</v>
      </c>
      <c r="CF39" s="224">
        <f t="shared" si="123"/>
        <v>1910.857483976421</v>
      </c>
      <c r="CG39" s="224">
        <f t="shared" si="123"/>
        <v>1957.6734923338433</v>
      </c>
      <c r="CH39" s="224">
        <f t="shared" si="123"/>
        <v>2005.6364928960224</v>
      </c>
      <c r="CI39" s="224">
        <f t="shared" si="123"/>
        <v>2054.7745869719747</v>
      </c>
      <c r="CJ39" s="224">
        <f t="shared" si="123"/>
        <v>2105.1165643527879</v>
      </c>
      <c r="CK39" s="224">
        <f t="shared" si="123"/>
        <v>2156.6919201794312</v>
      </c>
      <c r="CL39" s="224">
        <f t="shared" si="123"/>
        <v>2209.5308722238274</v>
      </c>
      <c r="CM39" s="224">
        <f t="shared" si="123"/>
        <v>2263.6643785933111</v>
      </c>
      <c r="CN39" s="224">
        <f t="shared" si="123"/>
        <v>2319.1241558688471</v>
      </c>
      <c r="CO39" s="224">
        <f t="shared" si="123"/>
        <v>2375.9426976876339</v>
      </c>
      <c r="CP39" s="224">
        <f t="shared" si="123"/>
        <v>2434.1532937809807</v>
      </c>
      <c r="CQ39" s="224">
        <f t="shared" si="123"/>
        <v>2493.7900494786145</v>
      </c>
      <c r="CR39" s="224">
        <f t="shared" si="123"/>
        <v>2554.8879056908404</v>
      </c>
      <c r="CS39" s="224">
        <f t="shared" si="123"/>
        <v>2617.4826593802659</v>
      </c>
      <c r="CT39" s="224">
        <f t="shared" si="123"/>
        <v>2681.6109845350825</v>
      </c>
      <c r="CU39" s="224">
        <f t="shared" si="123"/>
        <v>2747.3104536561918</v>
      </c>
      <c r="CV39" s="224">
        <f t="shared" si="123"/>
        <v>2814.6195597707683</v>
      </c>
      <c r="CW39" s="224">
        <f t="shared" si="123"/>
        <v>2883.5777389851519</v>
      </c>
      <c r="CX39" s="224">
        <f t="shared" si="123"/>
        <v>2954.2253935902881</v>
      </c>
      <c r="CY39" s="224">
        <f t="shared" si="123"/>
        <v>3026.6039157332502</v>
      </c>
      <c r="CZ39" s="224">
        <f t="shared" si="123"/>
        <v>3100.7557116687149</v>
      </c>
      <c r="DA39" s="224">
        <f t="shared" si="123"/>
        <v>3176.7242266045982</v>
      </c>
      <c r="DB39" s="224">
        <f t="shared" si="123"/>
        <v>3254.5539701564107</v>
      </c>
      <c r="DC39" s="224">
        <f t="shared" si="123"/>
        <v>3334.2905424252426</v>
      </c>
      <c r="DD39" s="224">
        <f t="shared" si="123"/>
        <v>3415.9806607146611</v>
      </c>
      <c r="DE39" s="224">
        <f t="shared" si="123"/>
        <v>3499.6721869021703</v>
      </c>
      <c r="DF39" s="224">
        <f t="shared" si="123"/>
        <v>3585.4141554812732</v>
      </c>
      <c r="DG39" s="224">
        <f t="shared" si="123"/>
        <v>3673.2568022905643</v>
      </c>
      <c r="DH39" s="224">
        <f t="shared" si="123"/>
        <v>3763.251593946683</v>
      </c>
      <c r="DI39" s="224">
        <f t="shared" si="123"/>
        <v>3855.4512579983766</v>
      </c>
      <c r="DJ39" s="224">
        <f t="shared" si="123"/>
        <v>3949.9098138193367</v>
      </c>
      <c r="DK39" s="224">
        <f t="shared" si="123"/>
        <v>4046.6826042579105</v>
      </c>
      <c r="DL39" s="224">
        <f t="shared" si="123"/>
        <v>4145.8263280622295</v>
      </c>
      <c r="DM39" s="224">
        <f t="shared" si="123"/>
        <v>4247.3990730997539</v>
      </c>
      <c r="DN39" s="224">
        <f t="shared" si="123"/>
        <v>4351.4603503906974</v>
      </c>
      <c r="DO39" s="224">
        <f t="shared" si="123"/>
        <v>4458.0711289752689</v>
      </c>
    </row>
    <row r="40" spans="2:119" ht="13.5" customHeight="1">
      <c r="B40" s="204" t="s">
        <v>295</v>
      </c>
      <c r="C40" s="223">
        <v>5</v>
      </c>
      <c r="D40" s="223">
        <v>5</v>
      </c>
      <c r="E40" s="223">
        <v>8</v>
      </c>
      <c r="F40" s="223">
        <v>12</v>
      </c>
      <c r="G40" s="223">
        <v>30</v>
      </c>
      <c r="H40" s="223">
        <v>30</v>
      </c>
      <c r="I40" s="223">
        <v>31</v>
      </c>
      <c r="J40" s="223">
        <v>30</v>
      </c>
      <c r="K40" s="223">
        <v>32</v>
      </c>
      <c r="L40" s="223">
        <v>33</v>
      </c>
      <c r="M40" s="223">
        <v>33</v>
      </c>
      <c r="N40" s="223">
        <v>33</v>
      </c>
      <c r="O40" s="223">
        <v>34</v>
      </c>
      <c r="P40" s="223">
        <v>34</v>
      </c>
      <c r="Q40" s="223">
        <v>34</v>
      </c>
      <c r="R40" s="223">
        <v>34</v>
      </c>
      <c r="S40" s="223">
        <v>34.506999999999998</v>
      </c>
      <c r="T40" s="223">
        <v>34.694000000000003</v>
      </c>
      <c r="U40" s="223">
        <v>34.840000000000003</v>
      </c>
      <c r="V40" s="223">
        <v>35</v>
      </c>
      <c r="W40" s="223">
        <v>35</v>
      </c>
      <c r="X40" s="223">
        <v>35.4</v>
      </c>
      <c r="Y40" s="223">
        <v>36.207000000000001</v>
      </c>
      <c r="Z40" s="223">
        <v>37.651000000000003</v>
      </c>
      <c r="AA40" s="223">
        <v>36.454999999999998</v>
      </c>
      <c r="AB40" s="223">
        <v>36.523000000000003</v>
      </c>
      <c r="AC40" s="223">
        <v>36.616999999999997</v>
      </c>
      <c r="AD40" s="223">
        <v>36.700000000000003</v>
      </c>
      <c r="AE40" s="223">
        <v>37.646000000000001</v>
      </c>
      <c r="AF40" s="223">
        <v>37.767000000000003</v>
      </c>
      <c r="AG40" s="223">
        <v>37.917999999999999</v>
      </c>
      <c r="AH40" s="223">
        <v>37.841000000000001</v>
      </c>
      <c r="AI40" s="223">
        <v>39.07</v>
      </c>
      <c r="AJ40" s="223">
        <v>38.15</v>
      </c>
      <c r="AK40" s="223">
        <v>38.956000000000003</v>
      </c>
      <c r="AL40" s="223">
        <v>38.4</v>
      </c>
      <c r="AM40" s="223">
        <v>39.299999999999997</v>
      </c>
      <c r="AN40" s="223">
        <v>38.799999999999997</v>
      </c>
      <c r="AO40" s="223">
        <v>38.6</v>
      </c>
      <c r="AP40" s="223">
        <v>38.630000000000003</v>
      </c>
      <c r="AQ40" s="223">
        <v>38.561999999999998</v>
      </c>
      <c r="AR40" s="223">
        <v>38.834000000000003</v>
      </c>
      <c r="AS40" s="223">
        <v>39.078000000000003</v>
      </c>
      <c r="AT40" s="223">
        <v>38.630000000000003</v>
      </c>
      <c r="AU40" s="223">
        <v>39.274999999999999</v>
      </c>
      <c r="AV40" s="204">
        <v>39.353000000000002</v>
      </c>
      <c r="AW40" s="209"/>
      <c r="AX40" s="209"/>
      <c r="AY40" s="209"/>
      <c r="BG40" s="223">
        <v>12</v>
      </c>
      <c r="BH40" s="223">
        <v>31</v>
      </c>
      <c r="BI40" s="223">
        <v>33</v>
      </c>
      <c r="BJ40" s="223">
        <v>34</v>
      </c>
      <c r="BK40" s="223">
        <v>34.799999999999997</v>
      </c>
      <c r="BL40" s="223">
        <v>35.5</v>
      </c>
      <c r="BM40" s="223">
        <f>AD40</f>
        <v>36.700000000000003</v>
      </c>
      <c r="BN40" s="223">
        <f>AH40</f>
        <v>37.841000000000001</v>
      </c>
      <c r="BO40" s="223">
        <f>AL40</f>
        <v>38.4</v>
      </c>
      <c r="BP40" s="223">
        <f>AP40</f>
        <v>38.630000000000003</v>
      </c>
      <c r="BQ40" s="223">
        <f>AVERAGE(AQ40:AT40)</f>
        <v>38.776000000000003</v>
      </c>
      <c r="BR40" s="225">
        <f>BP40*1.05</f>
        <v>40.561500000000002</v>
      </c>
      <c r="BS40" s="225">
        <f t="shared" ref="BS40:CA40" si="124">BR40*1.05</f>
        <v>42.589575000000004</v>
      </c>
      <c r="BT40" s="225">
        <f t="shared" si="124"/>
        <v>44.719053750000008</v>
      </c>
      <c r="BU40" s="225">
        <f t="shared" si="124"/>
        <v>46.95500643750001</v>
      </c>
      <c r="BV40" s="225">
        <f t="shared" si="124"/>
        <v>49.302756759375015</v>
      </c>
      <c r="BW40" s="225">
        <f t="shared" si="124"/>
        <v>51.767894597343769</v>
      </c>
      <c r="BX40" s="225">
        <f t="shared" si="124"/>
        <v>54.356289327210959</v>
      </c>
      <c r="BY40" s="225">
        <f t="shared" si="124"/>
        <v>57.07410379357151</v>
      </c>
      <c r="BZ40" s="225">
        <f t="shared" si="124"/>
        <v>59.927808983250088</v>
      </c>
      <c r="CA40" s="225">
        <f t="shared" si="124"/>
        <v>62.924199432412593</v>
      </c>
      <c r="CB40" s="225"/>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c r="CY40" s="225"/>
      <c r="CZ40" s="225"/>
      <c r="DA40" s="225"/>
      <c r="DB40" s="225"/>
      <c r="DC40" s="225"/>
      <c r="DD40" s="225"/>
      <c r="DE40" s="225"/>
      <c r="DF40" s="225"/>
      <c r="DG40" s="225"/>
      <c r="DH40" s="225"/>
      <c r="DI40" s="225"/>
      <c r="DJ40" s="225"/>
      <c r="DK40" s="225"/>
      <c r="DL40" s="225"/>
      <c r="DM40" s="225"/>
      <c r="DN40" s="225"/>
      <c r="DO40" s="225"/>
    </row>
    <row r="41" spans="2:119" ht="13.5" customHeight="1">
      <c r="B41" s="204" t="s">
        <v>296</v>
      </c>
      <c r="C41" s="226">
        <f t="shared" ref="C41:R41" si="125">C39/C40</f>
        <v>0.1</v>
      </c>
      <c r="D41" s="226">
        <f t="shared" si="125"/>
        <v>-0.11000000000000006</v>
      </c>
      <c r="E41" s="226">
        <f t="shared" si="125"/>
        <v>4.0000000000000008E-2</v>
      </c>
      <c r="F41" s="226">
        <f t="shared" si="125"/>
        <v>6.2500000000000014E-2</v>
      </c>
      <c r="G41" s="226">
        <f t="shared" si="125"/>
        <v>8.3333333333333329E-2</v>
      </c>
      <c r="H41" s="226">
        <f t="shared" si="125"/>
        <v>0.1</v>
      </c>
      <c r="I41" s="226">
        <f t="shared" si="125"/>
        <v>0.39354838709677425</v>
      </c>
      <c r="J41" s="226">
        <f t="shared" si="125"/>
        <v>-0.08</v>
      </c>
      <c r="K41" s="226">
        <f t="shared" si="125"/>
        <v>-9.6875000000000003E-2</v>
      </c>
      <c r="L41" s="226">
        <f t="shared" si="125"/>
        <v>-4.8484848484848485E-2</v>
      </c>
      <c r="M41" s="226">
        <f t="shared" si="125"/>
        <v>6.0606060606060606E-3</v>
      </c>
      <c r="N41" s="226">
        <f t="shared" si="125"/>
        <v>0.27575757575757576</v>
      </c>
      <c r="O41" s="226">
        <f t="shared" si="125"/>
        <v>0.16176470588235295</v>
      </c>
      <c r="P41" s="226">
        <f t="shared" si="125"/>
        <v>0.39411764705882352</v>
      </c>
      <c r="Q41" s="226">
        <f t="shared" si="125"/>
        <v>-0.55588235294117638</v>
      </c>
      <c r="R41" s="226">
        <f t="shared" si="125"/>
        <v>0.19176470588235292</v>
      </c>
      <c r="S41" s="226">
        <f>S39/S40</f>
        <v>0.31002405309067727</v>
      </c>
      <c r="T41" s="226">
        <f>T39/T40</f>
        <v>0.4838300570703864</v>
      </c>
      <c r="U41" s="226">
        <f>U39/U40</f>
        <v>0.32959242250287024</v>
      </c>
      <c r="V41" s="226">
        <f>V39/V40</f>
        <v>0.27111428571428853</v>
      </c>
      <c r="W41" s="226">
        <f>W39/W40</f>
        <v>4.3314285714286097E-2</v>
      </c>
      <c r="X41" s="226">
        <f t="shared" ref="X41:AO41" si="126">X39/X40</f>
        <v>-0.33728813559322079</v>
      </c>
      <c r="Y41" s="226">
        <f t="shared" si="126"/>
        <v>-0.24395835059518883</v>
      </c>
      <c r="Z41" s="226">
        <f t="shared" si="126"/>
        <v>9.70757748798175E-2</v>
      </c>
      <c r="AA41" s="226">
        <f t="shared" si="126"/>
        <v>0.32456453161431909</v>
      </c>
      <c r="AB41" s="226">
        <f t="shared" si="126"/>
        <v>0.25340196588451169</v>
      </c>
      <c r="AC41" s="226">
        <f t="shared" si="126"/>
        <v>0.24147254007701291</v>
      </c>
      <c r="AD41" s="226">
        <f t="shared" si="126"/>
        <v>-0.67207084468665068</v>
      </c>
      <c r="AE41" s="226">
        <f t="shared" si="126"/>
        <v>1.9125537905752908E-3</v>
      </c>
      <c r="AF41" s="226">
        <f t="shared" si="126"/>
        <v>-9.7015913363518586E-2</v>
      </c>
      <c r="AG41" s="226">
        <f t="shared" si="126"/>
        <v>-6.01297536789916E-2</v>
      </c>
      <c r="AH41" s="226">
        <f t="shared" si="126"/>
        <v>0.10227002457651618</v>
      </c>
      <c r="AI41" s="226">
        <f t="shared" si="126"/>
        <v>0.22022011773739544</v>
      </c>
      <c r="AJ41" s="226">
        <f t="shared" si="126"/>
        <v>0.50065530799475755</v>
      </c>
      <c r="AK41" s="226">
        <f t="shared" si="126"/>
        <v>0.23642057706129974</v>
      </c>
      <c r="AL41" s="226">
        <f t="shared" si="126"/>
        <v>1.4087500000000008</v>
      </c>
      <c r="AM41" s="226">
        <f t="shared" si="126"/>
        <v>0.2824427480916028</v>
      </c>
      <c r="AN41" s="226">
        <f t="shared" si="126"/>
        <v>-1.5515463917525785</v>
      </c>
      <c r="AO41" s="226">
        <f t="shared" si="126"/>
        <v>0.76424870466321326</v>
      </c>
      <c r="AP41" s="226">
        <f>AP39/AP40</f>
        <v>0.86953145223919237</v>
      </c>
      <c r="AQ41" s="226">
        <f t="shared" ref="AQ41:AS41" si="127">AQ39/AQ40</f>
        <v>1.0171412271147762</v>
      </c>
      <c r="AR41" s="226">
        <f t="shared" si="127"/>
        <v>1.1657310604109801</v>
      </c>
      <c r="AS41" s="226">
        <f t="shared" si="127"/>
        <v>1.1733200266134396</v>
      </c>
      <c r="AT41" s="226">
        <f>AT39/AT40</f>
        <v>1.2255500906031567</v>
      </c>
      <c r="AU41" s="226">
        <f t="shared" ref="AU41:AV41" si="128">AU39/AU40</f>
        <v>0.82963717377466606</v>
      </c>
      <c r="AV41" s="226">
        <f t="shared" si="128"/>
        <v>0.88458313216273177</v>
      </c>
      <c r="BG41" s="226">
        <f>BG39/BG40</f>
        <v>8.5000000000000006E-2</v>
      </c>
      <c r="BH41" s="226">
        <f t="shared" ref="BH41:BP41" si="129">BH39/BH40</f>
        <v>0.49354838709677429</v>
      </c>
      <c r="BI41" s="226">
        <f t="shared" si="129"/>
        <v>0.13939393939393938</v>
      </c>
      <c r="BJ41" s="226">
        <f t="shared" si="129"/>
        <v>0.19176470588235292</v>
      </c>
      <c r="BK41" s="226">
        <f t="shared" si="129"/>
        <v>1.3924137931034477</v>
      </c>
      <c r="BL41" s="226">
        <f t="shared" si="129"/>
        <v>-0.4394929577464759</v>
      </c>
      <c r="BM41" s="226">
        <f t="shared" si="129"/>
        <v>0.14397820163487643</v>
      </c>
      <c r="BN41" s="226">
        <f t="shared" si="129"/>
        <v>-5.2905578605213728E-2</v>
      </c>
      <c r="BO41" s="226">
        <f t="shared" si="129"/>
        <v>2.3700520833333334</v>
      </c>
      <c r="BP41" s="226">
        <f t="shared" si="129"/>
        <v>0.36215376650271486</v>
      </c>
      <c r="BQ41" s="226">
        <f t="shared" si="83"/>
        <v>4.5817424047423518</v>
      </c>
      <c r="BR41" s="227">
        <f t="shared" ref="BR41:BW41" si="130">BR39/BR40</f>
        <v>5.1391442110178387</v>
      </c>
      <c r="BS41" s="227">
        <f t="shared" si="130"/>
        <v>6.8830686664174712</v>
      </c>
      <c r="BT41" s="227">
        <f t="shared" si="130"/>
        <v>8.6962159049818624</v>
      </c>
      <c r="BU41" s="227">
        <f t="shared" si="130"/>
        <v>10.536194110275886</v>
      </c>
      <c r="BV41" s="227">
        <f t="shared" si="130"/>
        <v>12.678254750786053</v>
      </c>
      <c r="BW41" s="227">
        <f t="shared" si="130"/>
        <v>14.844959787666282</v>
      </c>
      <c r="BX41" s="227">
        <f t="shared" ref="BX41:CA41" si="131">BX39/BX40</f>
        <v>17.34005313166583</v>
      </c>
      <c r="BY41" s="227">
        <f t="shared" si="131"/>
        <v>19.881068711366925</v>
      </c>
      <c r="BZ41" s="227">
        <f t="shared" si="131"/>
        <v>23.067529700819328</v>
      </c>
      <c r="CA41" s="227">
        <f t="shared" si="131"/>
        <v>26.906102051034665</v>
      </c>
    </row>
    <row r="42" spans="2:119" ht="13.5" customHeight="1">
      <c r="B42" s="216"/>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BK42" s="217"/>
      <c r="BL42" s="217"/>
      <c r="BM42" s="217"/>
      <c r="BN42" s="217"/>
      <c r="BO42" s="217"/>
      <c r="BP42" s="217"/>
      <c r="BQ42" s="217"/>
    </row>
    <row r="43" spans="2:119" ht="13.5" customHeight="1">
      <c r="B43" s="204" t="s">
        <v>477</v>
      </c>
      <c r="C43" s="217">
        <f t="shared" ref="C43:AR43" si="132">C28/C26</f>
        <v>0.68717948717948718</v>
      </c>
      <c r="D43" s="217">
        <f t="shared" si="132"/>
        <v>0.64775413711583929</v>
      </c>
      <c r="E43" s="217">
        <f t="shared" si="132"/>
        <v>0.66468253968253965</v>
      </c>
      <c r="F43" s="217">
        <f t="shared" si="132"/>
        <v>0.66911764705882348</v>
      </c>
      <c r="G43" s="217">
        <f t="shared" si="132"/>
        <v>0.68911917098445596</v>
      </c>
      <c r="H43" s="217">
        <f t="shared" si="132"/>
        <v>0.63748079877112129</v>
      </c>
      <c r="I43" s="217">
        <f t="shared" si="132"/>
        <v>0.63839285714285721</v>
      </c>
      <c r="J43" s="217">
        <f t="shared" si="132"/>
        <v>0.63748290013679887</v>
      </c>
      <c r="K43" s="217">
        <f t="shared" si="132"/>
        <v>0.65163934426229508</v>
      </c>
      <c r="L43" s="217">
        <f t="shared" si="132"/>
        <v>0.63151364764267981</v>
      </c>
      <c r="M43" s="217">
        <f t="shared" si="132"/>
        <v>0.65315852205005964</v>
      </c>
      <c r="N43" s="217">
        <f t="shared" si="132"/>
        <v>0.66389177939646205</v>
      </c>
      <c r="O43" s="217">
        <f t="shared" si="132"/>
        <v>0.6484907497565725</v>
      </c>
      <c r="P43" s="217">
        <f t="shared" si="132"/>
        <v>0.65875912408759119</v>
      </c>
      <c r="Q43" s="217">
        <f t="shared" si="132"/>
        <v>0.67084078711985695</v>
      </c>
      <c r="R43" s="217">
        <f t="shared" si="132"/>
        <v>0.65149006622516548</v>
      </c>
      <c r="S43" s="217">
        <f t="shared" si="132"/>
        <v>0.65330623875925542</v>
      </c>
      <c r="T43" s="217">
        <f t="shared" si="132"/>
        <v>0.69990536583184926</v>
      </c>
      <c r="U43" s="217">
        <f t="shared" si="132"/>
        <v>0.6881478401743345</v>
      </c>
      <c r="V43" s="217">
        <f t="shared" si="132"/>
        <v>0.67551510728963748</v>
      </c>
      <c r="W43" s="217">
        <f t="shared" si="132"/>
        <v>0.64093226511289147</v>
      </c>
      <c r="X43" s="217">
        <f t="shared" si="132"/>
        <v>0.61750713606089436</v>
      </c>
      <c r="Y43" s="217">
        <f t="shared" si="132"/>
        <v>0.60189940436796829</v>
      </c>
      <c r="Z43" s="217">
        <f t="shared" si="132"/>
        <v>0.56513611963190191</v>
      </c>
      <c r="AA43" s="217">
        <f t="shared" si="132"/>
        <v>0.65799645390070927</v>
      </c>
      <c r="AB43" s="217">
        <f t="shared" si="132"/>
        <v>0.64405860010851879</v>
      </c>
      <c r="AC43" s="217">
        <f t="shared" si="132"/>
        <v>0.6307206733298264</v>
      </c>
      <c r="AD43" s="217">
        <f t="shared" si="132"/>
        <v>0.61497622432472154</v>
      </c>
      <c r="AE43" s="217">
        <f t="shared" si="132"/>
        <v>0.62481608631682195</v>
      </c>
      <c r="AF43" s="217">
        <f t="shared" si="132"/>
        <v>0.64330292846855497</v>
      </c>
      <c r="AG43" s="217">
        <f t="shared" si="132"/>
        <v>0.63313055685540476</v>
      </c>
      <c r="AH43" s="217">
        <f t="shared" si="132"/>
        <v>0.6260684436770283</v>
      </c>
      <c r="AI43" s="217">
        <f t="shared" si="132"/>
        <v>0.62593206296603154</v>
      </c>
      <c r="AJ43" s="217">
        <f t="shared" si="132"/>
        <v>0.63824091778202674</v>
      </c>
      <c r="AK43" s="217">
        <f t="shared" si="132"/>
        <v>0.65596160944998161</v>
      </c>
      <c r="AL43" s="217">
        <f t="shared" si="132"/>
        <v>0.65650463613374543</v>
      </c>
      <c r="AM43" s="217">
        <f t="shared" si="132"/>
        <v>0.65016146393972007</v>
      </c>
      <c r="AN43" s="217">
        <f t="shared" si="132"/>
        <v>0.54375417501670009</v>
      </c>
      <c r="AO43" s="217">
        <f t="shared" si="132"/>
        <v>0.6654485049833887</v>
      </c>
      <c r="AP43" s="217">
        <f t="shared" si="132"/>
        <v>0.66782884310618063</v>
      </c>
      <c r="AQ43" s="217">
        <f t="shared" si="132"/>
        <v>0.66601777009933971</v>
      </c>
      <c r="AR43" s="217">
        <f t="shared" si="132"/>
        <v>0.65991073927324684</v>
      </c>
      <c r="AS43" s="217">
        <v>0.67</v>
      </c>
      <c r="AT43" s="217">
        <f>AT28/AT26</f>
        <v>0.68017177627567238</v>
      </c>
      <c r="AU43" s="217">
        <v>0.67800000000000005</v>
      </c>
      <c r="AV43" s="217">
        <v>0.68500000000000005</v>
      </c>
      <c r="AW43" s="219">
        <v>0.69199999999999995</v>
      </c>
      <c r="AX43" s="219">
        <v>0.69499999999999995</v>
      </c>
      <c r="BG43" s="217">
        <f t="shared" ref="BG43:BQ43" si="133">BG28/BG26</f>
        <v>0.6668457818377217</v>
      </c>
      <c r="BH43" s="217">
        <f t="shared" si="133"/>
        <v>0.6490695024686669</v>
      </c>
      <c r="BI43" s="217">
        <f t="shared" si="133"/>
        <v>0.65068903535050926</v>
      </c>
      <c r="BJ43" s="217">
        <f t="shared" si="133"/>
        <v>0.65745111260957512</v>
      </c>
      <c r="BK43" s="217">
        <f t="shared" si="133"/>
        <v>0.6795030352409468</v>
      </c>
      <c r="BL43" s="217">
        <f t="shared" si="133"/>
        <v>0.60343996916554254</v>
      </c>
      <c r="BM43" s="217">
        <f t="shared" si="133"/>
        <v>0.63588598028331034</v>
      </c>
      <c r="BN43" s="217">
        <f t="shared" si="133"/>
        <v>0.63178627204937132</v>
      </c>
      <c r="BO43" s="217">
        <f t="shared" si="133"/>
        <v>0.64488153270604243</v>
      </c>
      <c r="BP43" s="217">
        <f t="shared" si="133"/>
        <v>0.63201071488364302</v>
      </c>
      <c r="BQ43" s="217">
        <f t="shared" si="133"/>
        <v>0.67141162599338156</v>
      </c>
      <c r="BR43" s="219">
        <v>0.67</v>
      </c>
      <c r="BS43" s="219">
        <v>0.69199999999999995</v>
      </c>
      <c r="BT43" s="219">
        <v>0.70299999999999996</v>
      </c>
      <c r="BU43" s="219">
        <v>0.71</v>
      </c>
      <c r="BV43" s="219">
        <v>0.71499999999999997</v>
      </c>
      <c r="BW43" s="219">
        <v>0.72</v>
      </c>
      <c r="BX43" s="219">
        <v>0.72499999999999998</v>
      </c>
      <c r="BY43" s="219">
        <v>0.73</v>
      </c>
      <c r="BZ43" s="219">
        <v>0.73499999999999999</v>
      </c>
      <c r="CA43" s="219">
        <v>0.74</v>
      </c>
    </row>
    <row r="44" spans="2:119" ht="13.5" customHeight="1">
      <c r="B44" s="204" t="s">
        <v>480</v>
      </c>
      <c r="C44" s="217">
        <f t="shared" ref="C44:AR44" si="134">C29/C26</f>
        <v>8.2051282051282051E-2</v>
      </c>
      <c r="D44" s="217">
        <f t="shared" si="134"/>
        <v>0.11347517730496454</v>
      </c>
      <c r="E44" s="217">
        <f t="shared" si="134"/>
        <v>9.1269841269841265E-2</v>
      </c>
      <c r="F44" s="217">
        <f t="shared" si="134"/>
        <v>0.10110294117647059</v>
      </c>
      <c r="G44" s="217">
        <f t="shared" si="134"/>
        <v>8.6355785837651119E-2</v>
      </c>
      <c r="H44" s="217">
        <f t="shared" si="134"/>
        <v>9.6774193548387108E-2</v>
      </c>
      <c r="I44" s="217">
        <f t="shared" si="134"/>
        <v>9.6726190476190466E-2</v>
      </c>
      <c r="J44" s="217">
        <f t="shared" si="134"/>
        <v>8.3447332421340628E-2</v>
      </c>
      <c r="K44" s="217">
        <f t="shared" si="134"/>
        <v>9.5628415300546443E-2</v>
      </c>
      <c r="L44" s="217">
        <f t="shared" si="134"/>
        <v>0.10049627791563276</v>
      </c>
      <c r="M44" s="217">
        <f t="shared" si="134"/>
        <v>9.6543504171632891E-2</v>
      </c>
      <c r="N44" s="217">
        <f t="shared" si="134"/>
        <v>8.7408949011446413E-2</v>
      </c>
      <c r="O44" s="217">
        <f t="shared" si="134"/>
        <v>7.7896786757546244E-2</v>
      </c>
      <c r="P44" s="217">
        <f t="shared" si="134"/>
        <v>7.4817518248175174E-2</v>
      </c>
      <c r="Q44" s="217">
        <f t="shared" si="134"/>
        <v>0.35688729874776387</v>
      </c>
      <c r="R44" s="217">
        <f t="shared" si="134"/>
        <v>9.0231788079470202E-2</v>
      </c>
      <c r="S44" s="217">
        <f t="shared" si="134"/>
        <v>9.0836895335528925E-2</v>
      </c>
      <c r="T44" s="217">
        <f t="shared" si="134"/>
        <v>0.10031221823980448</v>
      </c>
      <c r="U44" s="217">
        <f t="shared" si="134"/>
        <v>9.8443033074794628E-2</v>
      </c>
      <c r="V44" s="217">
        <f t="shared" si="134"/>
        <v>8.8537184791513193E-2</v>
      </c>
      <c r="W44" s="217">
        <f t="shared" si="134"/>
        <v>9.4289876183539678E-2</v>
      </c>
      <c r="X44" s="217">
        <f t="shared" si="134"/>
        <v>0.21622264509990488</v>
      </c>
      <c r="Y44" s="217">
        <f t="shared" si="134"/>
        <v>0.23112508272667109</v>
      </c>
      <c r="Z44" s="217">
        <f t="shared" si="134"/>
        <v>0.11655842599693257</v>
      </c>
      <c r="AA44" s="217">
        <f t="shared" si="134"/>
        <v>0.10683215130023642</v>
      </c>
      <c r="AB44" s="217">
        <f t="shared" si="134"/>
        <v>9.624525230602278E-2</v>
      </c>
      <c r="AC44" s="217">
        <f t="shared" si="134"/>
        <v>8.8006312467122566E-2</v>
      </c>
      <c r="AD44" s="217">
        <f t="shared" si="134"/>
        <v>0.25495367419971571</v>
      </c>
      <c r="AE44" s="217">
        <f t="shared" si="134"/>
        <v>0.10083374203040706</v>
      </c>
      <c r="AF44" s="217">
        <f t="shared" si="134"/>
        <v>9.3898223715794524E-2</v>
      </c>
      <c r="AG44" s="217">
        <f t="shared" si="134"/>
        <v>9.9766027140851671E-2</v>
      </c>
      <c r="AH44" s="217">
        <f t="shared" si="134"/>
        <v>8.1217539878770353E-2</v>
      </c>
      <c r="AI44" s="217">
        <f t="shared" si="134"/>
        <v>8.2767191383595687E-2</v>
      </c>
      <c r="AJ44" s="217">
        <f t="shared" si="134"/>
        <v>8.2217973231357558E-2</v>
      </c>
      <c r="AK44" s="217">
        <f t="shared" si="134"/>
        <v>7.7519379844961253E-2</v>
      </c>
      <c r="AL44" s="217">
        <f t="shared" si="134"/>
        <v>7.6987917954481594E-2</v>
      </c>
      <c r="AM44" s="217">
        <f t="shared" si="134"/>
        <v>8.8266953713670618E-2</v>
      </c>
      <c r="AN44" s="217">
        <f t="shared" si="134"/>
        <v>8.3166332665330661E-2</v>
      </c>
      <c r="AO44" s="217">
        <f t="shared" si="134"/>
        <v>8.3720930232558138E-2</v>
      </c>
      <c r="AP44" s="217">
        <f t="shared" si="134"/>
        <v>6.3708399366085564E-2</v>
      </c>
      <c r="AQ44" s="217">
        <f t="shared" si="134"/>
        <v>6.8109458875794421E-2</v>
      </c>
      <c r="AR44" s="217">
        <f t="shared" si="134"/>
        <v>6.8397873061230505E-2</v>
      </c>
      <c r="AS44" s="217">
        <v>6.8000000000000005E-2</v>
      </c>
      <c r="AT44" s="217">
        <f>AT29/AT26</f>
        <v>5.6551240966825372E-2</v>
      </c>
      <c r="AU44" s="217">
        <v>7.2999999999999995E-2</v>
      </c>
      <c r="AV44" s="217">
        <v>7.4999999999999997E-2</v>
      </c>
      <c r="AW44" s="219">
        <v>7.4999999999999997E-2</v>
      </c>
      <c r="AX44" s="219">
        <v>7.4999999999999997E-2</v>
      </c>
      <c r="BG44" s="217">
        <f t="shared" ref="BG44:BQ44" si="135">BG29/BG26</f>
        <v>9.7259537882858682E-2</v>
      </c>
      <c r="BH44" s="217">
        <f t="shared" si="135"/>
        <v>9.0770983668818847E-2</v>
      </c>
      <c r="BI44" s="217">
        <f t="shared" si="135"/>
        <v>9.4667465548232479E-2</v>
      </c>
      <c r="BJ44" s="217">
        <f t="shared" si="135"/>
        <v>0.15059563946954371</v>
      </c>
      <c r="BK44" s="217">
        <f t="shared" si="135"/>
        <v>9.4487973211692292E-2</v>
      </c>
      <c r="BL44" s="217">
        <f t="shared" si="135"/>
        <v>0.16068356851744789</v>
      </c>
      <c r="BM44" s="217">
        <f t="shared" si="135"/>
        <v>0.13985205794620045</v>
      </c>
      <c r="BN44" s="217">
        <f t="shared" si="135"/>
        <v>9.3736166575968588E-2</v>
      </c>
      <c r="BO44" s="217">
        <f t="shared" si="135"/>
        <v>7.9733968181989953E-2</v>
      </c>
      <c r="BP44" s="217">
        <f t="shared" si="135"/>
        <v>7.9357106981416375E-2</v>
      </c>
      <c r="BQ44" s="217">
        <f t="shared" si="135"/>
        <v>6.3951156436899123E-2</v>
      </c>
      <c r="BR44" s="219">
        <v>7.4999999999999997E-2</v>
      </c>
      <c r="BS44" s="219">
        <v>7.5999999999999998E-2</v>
      </c>
      <c r="BT44" s="219">
        <v>8.1000000000000003E-2</v>
      </c>
      <c r="BU44" s="219">
        <v>8.5000000000000006E-2</v>
      </c>
      <c r="BV44" s="219">
        <v>8.5000000000000006E-2</v>
      </c>
      <c r="BW44" s="219">
        <v>8.7499999999999994E-2</v>
      </c>
      <c r="BX44" s="219">
        <v>0.09</v>
      </c>
      <c r="BY44" s="219">
        <v>9.5000000000000001E-2</v>
      </c>
      <c r="BZ44" s="219">
        <v>9.5000000000000001E-2</v>
      </c>
      <c r="CA44" s="219">
        <v>9.5000000000000001E-2</v>
      </c>
    </row>
    <row r="45" spans="2:119" ht="13.5" customHeight="1">
      <c r="B45" s="204" t="s">
        <v>491</v>
      </c>
      <c r="C45" s="217">
        <f t="shared" ref="C45:AR45" si="136">C30/C26</f>
        <v>0.5</v>
      </c>
      <c r="D45" s="217">
        <f t="shared" si="136"/>
        <v>0.62411347517730498</v>
      </c>
      <c r="E45" s="217">
        <f t="shared" si="136"/>
        <v>0.53174603174603174</v>
      </c>
      <c r="F45" s="217">
        <f t="shared" si="136"/>
        <v>0.53676470588235292</v>
      </c>
      <c r="G45" s="217">
        <f t="shared" si="136"/>
        <v>0.57167530224525043</v>
      </c>
      <c r="H45" s="217">
        <f t="shared" si="136"/>
        <v>0.55145929339477728</v>
      </c>
      <c r="I45" s="217">
        <f t="shared" si="136"/>
        <v>0.56101190476190477</v>
      </c>
      <c r="J45" s="217">
        <f t="shared" si="136"/>
        <v>0.56908344733242144</v>
      </c>
      <c r="K45" s="217">
        <f t="shared" si="136"/>
        <v>0.58333333333333337</v>
      </c>
      <c r="L45" s="217">
        <f t="shared" si="136"/>
        <v>0.54838709677419362</v>
      </c>
      <c r="M45" s="217">
        <f t="shared" si="136"/>
        <v>0.54827175208581647</v>
      </c>
      <c r="N45" s="217">
        <f t="shared" si="136"/>
        <v>0.53590010405827271</v>
      </c>
      <c r="O45" s="217">
        <f t="shared" si="136"/>
        <v>0.53067185978578379</v>
      </c>
      <c r="P45" s="217">
        <f t="shared" si="136"/>
        <v>0.5</v>
      </c>
      <c r="Q45" s="217">
        <f t="shared" si="136"/>
        <v>0.5</v>
      </c>
      <c r="R45" s="217">
        <f t="shared" si="136"/>
        <v>0.50662251655629142</v>
      </c>
      <c r="S45" s="217">
        <f t="shared" si="136"/>
        <v>0.47564213361985069</v>
      </c>
      <c r="T45" s="217">
        <f t="shared" si="136"/>
        <v>0.50420637700166171</v>
      </c>
      <c r="U45" s="217">
        <f t="shared" si="136"/>
        <v>0.49668821952373443</v>
      </c>
      <c r="V45" s="217">
        <f t="shared" si="136"/>
        <v>0.51416415968498042</v>
      </c>
      <c r="W45" s="217">
        <f t="shared" si="136"/>
        <v>0.5422651128914785</v>
      </c>
      <c r="X45" s="217">
        <f t="shared" si="136"/>
        <v>0.56898192197906761</v>
      </c>
      <c r="Y45" s="217">
        <f t="shared" si="136"/>
        <v>0.50430178689609539</v>
      </c>
      <c r="Z45" s="217">
        <f t="shared" si="136"/>
        <v>0.45901433090490795</v>
      </c>
      <c r="AA45" s="217">
        <f t="shared" si="136"/>
        <v>0.47161938534278963</v>
      </c>
      <c r="AB45" s="217">
        <f t="shared" si="136"/>
        <v>0.49175257731958755</v>
      </c>
      <c r="AC45" s="217">
        <f t="shared" si="136"/>
        <v>0.49656496580746978</v>
      </c>
      <c r="AD45" s="217">
        <f t="shared" si="136"/>
        <v>0.55642923672729072</v>
      </c>
      <c r="AE45" s="217">
        <f t="shared" si="136"/>
        <v>0.54389406571848942</v>
      </c>
      <c r="AF45" s="217">
        <f t="shared" si="136"/>
        <v>0.55024003840614488</v>
      </c>
      <c r="AG45" s="217">
        <f t="shared" si="136"/>
        <v>0.5080486663547028</v>
      </c>
      <c r="AH45" s="217">
        <f t="shared" si="136"/>
        <v>0.52267518860206241</v>
      </c>
      <c r="AI45" s="217">
        <f t="shared" si="136"/>
        <v>0.50981772990886487</v>
      </c>
      <c r="AJ45" s="217">
        <f t="shared" si="136"/>
        <v>0.48718929254302107</v>
      </c>
      <c r="AK45" s="217">
        <f t="shared" si="136"/>
        <v>0.46474713916574389</v>
      </c>
      <c r="AL45" s="217">
        <f t="shared" si="136"/>
        <v>0.45669429615060397</v>
      </c>
      <c r="AM45" s="217">
        <f t="shared" si="136"/>
        <v>0.51811984212414786</v>
      </c>
      <c r="AN45" s="217">
        <f t="shared" si="136"/>
        <v>0.4739478957915832</v>
      </c>
      <c r="AO45" s="217">
        <f t="shared" si="136"/>
        <v>0.46411960132890362</v>
      </c>
      <c r="AP45" s="217">
        <f t="shared" si="136"/>
        <v>0.46909667194928684</v>
      </c>
      <c r="AQ45" s="217">
        <f t="shared" si="136"/>
        <v>0.47342506324427713</v>
      </c>
      <c r="AR45" s="217">
        <f t="shared" si="136"/>
        <v>0.47123771928532504</v>
      </c>
      <c r="AS45" s="217">
        <v>0.47</v>
      </c>
      <c r="AT45" s="217">
        <f>AT30/AT26</f>
        <v>0.46992228550670123</v>
      </c>
      <c r="AU45" s="217">
        <v>0.46600000000000003</v>
      </c>
      <c r="AV45" s="217">
        <v>0.46400000000000002</v>
      </c>
      <c r="AW45" s="219">
        <v>0.46300000000000002</v>
      </c>
      <c r="AX45" s="219">
        <v>0.46200000000000002</v>
      </c>
      <c r="BG45" s="217">
        <f t="shared" ref="BG45:BQ45" si="137">BG30/BG26</f>
        <v>0.5475550779150995</v>
      </c>
      <c r="BH45" s="217">
        <f t="shared" si="137"/>
        <v>0.56323585263957476</v>
      </c>
      <c r="BI45" s="217">
        <f t="shared" si="137"/>
        <v>0.55242660275614142</v>
      </c>
      <c r="BJ45" s="217">
        <f t="shared" si="137"/>
        <v>0.50887839964036852</v>
      </c>
      <c r="BK45" s="217">
        <f t="shared" si="137"/>
        <v>0.49823073676980212</v>
      </c>
      <c r="BL45" s="217">
        <f t="shared" si="137"/>
        <v>0.51224456292870235</v>
      </c>
      <c r="BM45" s="217">
        <f t="shared" si="137"/>
        <v>0.50606749689000652</v>
      </c>
      <c r="BN45" s="217">
        <f t="shared" si="137"/>
        <v>0.53087059529023184</v>
      </c>
      <c r="BO45" s="217">
        <f t="shared" si="137"/>
        <v>0.47840380909193969</v>
      </c>
      <c r="BP45" s="217">
        <f t="shared" si="137"/>
        <v>0.48049556336849158</v>
      </c>
      <c r="BQ45" s="217">
        <f t="shared" si="137"/>
        <v>0.47263556475369839</v>
      </c>
      <c r="BR45" s="219">
        <v>0.46899999999999997</v>
      </c>
      <c r="BS45" s="219">
        <v>0.45250000000000001</v>
      </c>
      <c r="BT45" s="219">
        <v>0.44600000000000001</v>
      </c>
      <c r="BU45" s="219">
        <v>0.439</v>
      </c>
      <c r="BV45" s="219">
        <v>0.435</v>
      </c>
      <c r="BW45" s="219">
        <v>0.4325</v>
      </c>
      <c r="BX45" s="219">
        <v>0.42799999999999999</v>
      </c>
      <c r="BY45" s="219">
        <v>0.42499999999999999</v>
      </c>
      <c r="BZ45" s="219">
        <v>0.42</v>
      </c>
      <c r="CA45" s="219">
        <v>0.41</v>
      </c>
    </row>
    <row r="46" spans="2:119" ht="13.5" customHeight="1">
      <c r="B46" s="204" t="s">
        <v>478</v>
      </c>
      <c r="C46" s="217">
        <f t="shared" ref="C46:AX46" si="138">C33/C26</f>
        <v>0.10256410256410256</v>
      </c>
      <c r="D46" s="217">
        <f t="shared" si="138"/>
        <v>-8.9834515366430279E-2</v>
      </c>
      <c r="E46" s="217">
        <f t="shared" si="138"/>
        <v>4.3650793650793634E-2</v>
      </c>
      <c r="F46" s="217">
        <f t="shared" si="138"/>
        <v>3.3088235294117599E-2</v>
      </c>
      <c r="G46" s="217">
        <f t="shared" si="138"/>
        <v>3.1088082901554355E-2</v>
      </c>
      <c r="H46" s="217">
        <f t="shared" si="138"/>
        <v>-1.0752688172043055E-2</v>
      </c>
      <c r="I46" s="217">
        <f t="shared" si="138"/>
        <v>-2.0833333333333311E-2</v>
      </c>
      <c r="J46" s="217">
        <f t="shared" si="138"/>
        <v>-1.6415868673050754E-2</v>
      </c>
      <c r="K46" s="217">
        <f t="shared" si="138"/>
        <v>-2.7322404371584699E-2</v>
      </c>
      <c r="L46" s="217">
        <f t="shared" si="138"/>
        <v>-1.6129032258064658E-2</v>
      </c>
      <c r="M46" s="217">
        <f t="shared" si="138"/>
        <v>8.3432657926102837E-3</v>
      </c>
      <c r="N46" s="217">
        <f t="shared" si="138"/>
        <v>4.0582726326742966E-2</v>
      </c>
      <c r="O46" s="217">
        <f t="shared" si="138"/>
        <v>3.8948393378773052E-2</v>
      </c>
      <c r="P46" s="217">
        <f t="shared" si="138"/>
        <v>8.4854014598540056E-2</v>
      </c>
      <c r="Q46" s="217">
        <f t="shared" si="138"/>
        <v>-0.18604651162790695</v>
      </c>
      <c r="R46" s="217">
        <f t="shared" si="138"/>
        <v>5.5463576158940188E-2</v>
      </c>
      <c r="S46" s="217">
        <f t="shared" si="138"/>
        <v>8.6827209803875788E-2</v>
      </c>
      <c r="T46" s="217">
        <f t="shared" si="138"/>
        <v>9.5386770590383002E-2</v>
      </c>
      <c r="U46" s="217">
        <f t="shared" si="138"/>
        <v>9.301658757580536E-2</v>
      </c>
      <c r="V46" s="217">
        <f t="shared" si="138"/>
        <v>7.2813762813143876E-2</v>
      </c>
      <c r="W46" s="217">
        <f t="shared" si="138"/>
        <v>4.377276037873367E-3</v>
      </c>
      <c r="X46" s="217">
        <f t="shared" si="138"/>
        <v>-0.16769743101807816</v>
      </c>
      <c r="Y46" s="217">
        <f t="shared" si="138"/>
        <v>-0.13352746525479817</v>
      </c>
      <c r="Z46" s="217">
        <f t="shared" si="138"/>
        <v>-1.0436637269938589E-2</v>
      </c>
      <c r="AA46" s="217">
        <f t="shared" si="138"/>
        <v>7.9544917257683243E-2</v>
      </c>
      <c r="AB46" s="217">
        <f t="shared" si="138"/>
        <v>5.6060770482908417E-2</v>
      </c>
      <c r="AC46" s="217">
        <f t="shared" si="138"/>
        <v>4.6149395055233994E-2</v>
      </c>
      <c r="AD46" s="217">
        <f t="shared" si="138"/>
        <v>-0.19640668660228483</v>
      </c>
      <c r="AE46" s="217">
        <f t="shared" si="138"/>
        <v>-1.9911721432074557E-2</v>
      </c>
      <c r="AF46" s="217">
        <f t="shared" si="138"/>
        <v>-8.3533365338457318E-4</v>
      </c>
      <c r="AG46" s="217">
        <f t="shared" si="138"/>
        <v>2.5315863359850244E-2</v>
      </c>
      <c r="AH46" s="217">
        <f t="shared" si="138"/>
        <v>2.2175715196195642E-2</v>
      </c>
      <c r="AI46" s="217">
        <f t="shared" si="138"/>
        <v>3.3347141673571001E-2</v>
      </c>
      <c r="AJ46" s="217">
        <f t="shared" si="138"/>
        <v>6.8833652007648183E-2</v>
      </c>
      <c r="AK46" s="217">
        <f t="shared" si="138"/>
        <v>4.651162790697673E-2</v>
      </c>
      <c r="AL46" s="217">
        <f t="shared" si="138"/>
        <v>0.12282242202865983</v>
      </c>
      <c r="AM46" s="217">
        <f t="shared" si="138"/>
        <v>4.377466810190165E-2</v>
      </c>
      <c r="AN46" s="217">
        <f t="shared" si="138"/>
        <v>-0.27020708082832345</v>
      </c>
      <c r="AO46" s="217">
        <f t="shared" si="138"/>
        <v>0.11760797342192703</v>
      </c>
      <c r="AP46" s="217">
        <f t="shared" si="138"/>
        <v>0.13489698890649762</v>
      </c>
      <c r="AQ46" s="217">
        <f t="shared" si="138"/>
        <v>0.1244832479792682</v>
      </c>
      <c r="AR46" s="217">
        <f t="shared" si="138"/>
        <v>0.12027514692669133</v>
      </c>
      <c r="AS46" s="217">
        <f t="shared" si="138"/>
        <v>0.13769401017804528</v>
      </c>
      <c r="AT46" s="217">
        <f t="shared" si="138"/>
        <v>0.15369824980214578</v>
      </c>
      <c r="AU46" s="217">
        <f t="shared" si="138"/>
        <v>0.10202317228718269</v>
      </c>
      <c r="AV46" s="217">
        <f t="shared" si="138"/>
        <v>0.10521579506006981</v>
      </c>
      <c r="AW46" s="219">
        <f t="shared" si="138"/>
        <v>0.15400000000000005</v>
      </c>
      <c r="AX46" s="219">
        <f t="shared" si="138"/>
        <v>0.15799999999999992</v>
      </c>
      <c r="BG46" s="217">
        <f t="shared" ref="BG46:CA46" si="139">BG33/BG26</f>
        <v>2.2568511552928511E-2</v>
      </c>
      <c r="BH46" s="217">
        <f t="shared" si="139"/>
        <v>-5.6969236612229943E-3</v>
      </c>
      <c r="BI46" s="217">
        <f t="shared" si="139"/>
        <v>3.8945476333133314E-3</v>
      </c>
      <c r="BJ46" s="217">
        <f t="shared" si="139"/>
        <v>-1.798156889188671E-3</v>
      </c>
      <c r="BK46" s="217">
        <f t="shared" si="139"/>
        <v>8.6784325259452302E-2</v>
      </c>
      <c r="BL46" s="217">
        <f t="shared" si="139"/>
        <v>-6.948816228060764E-2</v>
      </c>
      <c r="BM46" s="217">
        <f t="shared" si="139"/>
        <v>-1.0033574552896685E-2</v>
      </c>
      <c r="BN46" s="217">
        <f t="shared" si="139"/>
        <v>7.1795101831708917E-3</v>
      </c>
      <c r="BO46" s="217">
        <f t="shared" si="139"/>
        <v>6.9549937648792665E-2</v>
      </c>
      <c r="BP46" s="217">
        <f t="shared" si="139"/>
        <v>7.751548635526434E-3</v>
      </c>
      <c r="BQ46" s="217">
        <f t="shared" si="139"/>
        <v>0.13482490480278411</v>
      </c>
      <c r="BR46" s="219">
        <f t="shared" si="139"/>
        <v>0.12600000000000003</v>
      </c>
      <c r="BS46" s="219">
        <f t="shared" si="139"/>
        <v>0.16349999999999992</v>
      </c>
      <c r="BT46" s="219">
        <f t="shared" si="139"/>
        <v>0.17600000000000002</v>
      </c>
      <c r="BU46" s="219">
        <f t="shared" si="139"/>
        <v>0.186</v>
      </c>
      <c r="BV46" s="219">
        <f t="shared" si="139"/>
        <v>0.19499999999999998</v>
      </c>
      <c r="BW46" s="219">
        <f t="shared" si="139"/>
        <v>0.2</v>
      </c>
      <c r="BX46" s="219">
        <f t="shared" si="139"/>
        <v>0.20699999999999991</v>
      </c>
      <c r="BY46" s="219">
        <f t="shared" si="139"/>
        <v>0.21</v>
      </c>
      <c r="BZ46" s="219">
        <f t="shared" si="139"/>
        <v>0.21999999999999997</v>
      </c>
      <c r="CA46" s="219">
        <f t="shared" si="139"/>
        <v>0.23499999999999996</v>
      </c>
    </row>
    <row r="47" spans="2:119" ht="13.5" customHeight="1">
      <c r="B47" s="204" t="s">
        <v>572</v>
      </c>
      <c r="C47" s="217">
        <f t="shared" ref="C47:AR47" si="140">C36/C35</f>
        <v>0.39534883720930231</v>
      </c>
      <c r="D47" s="217">
        <f t="shared" si="140"/>
        <v>0.35714285714285704</v>
      </c>
      <c r="E47" s="217">
        <f t="shared" si="140"/>
        <v>0.57142857142857162</v>
      </c>
      <c r="F47" s="217">
        <f t="shared" si="140"/>
        <v>0.105263157894737</v>
      </c>
      <c r="G47" s="217">
        <f t="shared" si="140"/>
        <v>-9.5238095238095385E-2</v>
      </c>
      <c r="H47" s="217">
        <f t="shared" si="140"/>
        <v>8.4999999999999396</v>
      </c>
      <c r="I47" s="217">
        <f t="shared" si="140"/>
        <v>11.818181818181834</v>
      </c>
      <c r="J47" s="217">
        <f t="shared" si="140"/>
        <v>-0.56249999999999656</v>
      </c>
      <c r="K47" s="217">
        <f t="shared" si="140"/>
        <v>-0.82352941176470584</v>
      </c>
      <c r="L47" s="217">
        <f t="shared" si="140"/>
        <v>-0.55555555555554859</v>
      </c>
      <c r="M47" s="217">
        <f t="shared" si="140"/>
        <v>0.38461538461538375</v>
      </c>
      <c r="N47" s="217">
        <f t="shared" si="140"/>
        <v>-1.5128205128205134</v>
      </c>
      <c r="O47" s="217">
        <f t="shared" si="140"/>
        <v>-0.42222222222222289</v>
      </c>
      <c r="P47" s="217">
        <f t="shared" si="140"/>
        <v>-0.50515463917525827</v>
      </c>
      <c r="Q47" s="217">
        <f t="shared" si="140"/>
        <v>-8.0402010050251271E-2</v>
      </c>
      <c r="R47" s="217">
        <f t="shared" si="140"/>
        <v>0.12162162162162204</v>
      </c>
      <c r="S47" s="217">
        <f t="shared" si="140"/>
        <v>0.12217650516416156</v>
      </c>
      <c r="T47" s="217">
        <f t="shared" si="140"/>
        <v>-0.20238271422228815</v>
      </c>
      <c r="U47" s="217">
        <f t="shared" si="140"/>
        <v>0.15143099591144024</v>
      </c>
      <c r="V47" s="217">
        <f t="shared" si="140"/>
        <v>0.20839363241678549</v>
      </c>
      <c r="W47" s="217">
        <f t="shared" si="140"/>
        <v>2.4946564885496687</v>
      </c>
      <c r="X47" s="217">
        <f t="shared" si="140"/>
        <v>0.24275383620436217</v>
      </c>
      <c r="Y47" s="217">
        <f t="shared" si="140"/>
        <v>0.49901260823332821</v>
      </c>
      <c r="Z47" s="217">
        <f t="shared" si="140"/>
        <v>6.223762376237743</v>
      </c>
      <c r="AA47" s="217">
        <f t="shared" si="140"/>
        <v>0.12364599213672467</v>
      </c>
      <c r="AB47" s="217">
        <f t="shared" si="140"/>
        <v>0.18585542404382235</v>
      </c>
      <c r="AC47" s="217">
        <f t="shared" si="140"/>
        <v>-3.2029843066632438E-2</v>
      </c>
      <c r="AD47" s="217">
        <f t="shared" si="140"/>
        <v>0.39834480738245126</v>
      </c>
      <c r="AE47" s="217">
        <f t="shared" si="140"/>
        <v>1.0140872627665813</v>
      </c>
      <c r="AF47" s="217">
        <f t="shared" si="140"/>
        <v>-2.20279720279719</v>
      </c>
      <c r="AG47" s="217">
        <f t="shared" si="140"/>
        <v>1.7549668874172206</v>
      </c>
      <c r="AH47" s="217">
        <f t="shared" si="140"/>
        <v>0.45699452785183436</v>
      </c>
      <c r="AI47" s="217">
        <f t="shared" si="140"/>
        <v>1.0351966873705955E-2</v>
      </c>
      <c r="AJ47" s="217">
        <f t="shared" si="140"/>
        <v>2.551020408163265E-2</v>
      </c>
      <c r="AK47" s="217">
        <f t="shared" si="140"/>
        <v>0.30751879699248136</v>
      </c>
      <c r="AL47" s="217">
        <f t="shared" si="140"/>
        <v>-0.41924651065169455</v>
      </c>
      <c r="AM47" s="217">
        <f t="shared" si="140"/>
        <v>0.24489795918367366</v>
      </c>
      <c r="AN47" s="217">
        <f t="shared" si="140"/>
        <v>0.22622107969151661</v>
      </c>
      <c r="AO47" s="217">
        <f t="shared" si="140"/>
        <v>0.25879396984924602</v>
      </c>
      <c r="AP47" s="217">
        <f t="shared" si="140"/>
        <v>0.23918459796149494</v>
      </c>
      <c r="AQ47" s="217">
        <f t="shared" si="140"/>
        <v>0.10568197364220895</v>
      </c>
      <c r="AR47" s="217">
        <f t="shared" si="140"/>
        <v>8.8280732730081654E-4</v>
      </c>
      <c r="AS47" s="217">
        <v>0.2</v>
      </c>
      <c r="AT47" s="217">
        <f>AT36/AT35</f>
        <v>0.2559875534322355</v>
      </c>
      <c r="AU47" s="217">
        <v>0.23</v>
      </c>
      <c r="AV47" s="217">
        <v>0.23</v>
      </c>
      <c r="AW47" s="219">
        <v>0.23</v>
      </c>
      <c r="AX47" s="219">
        <v>0.23</v>
      </c>
      <c r="BG47" s="217">
        <f t="shared" ref="BG47:BQ47" si="141">BG36/BG35</f>
        <v>0.39024390243902479</v>
      </c>
      <c r="BH47" s="228">
        <f t="shared" si="141"/>
        <v>15.699999999999777</v>
      </c>
      <c r="BI47" s="217">
        <f t="shared" si="141"/>
        <v>-1.3461538461538514</v>
      </c>
      <c r="BJ47" s="217">
        <f t="shared" si="141"/>
        <v>-2.5294117647059431</v>
      </c>
      <c r="BK47" s="217">
        <f t="shared" si="141"/>
        <v>6.2453872698621696E-2</v>
      </c>
      <c r="BL47" s="217">
        <f t="shared" si="141"/>
        <v>0.49477820560156266</v>
      </c>
      <c r="BM47" s="217">
        <f t="shared" si="141"/>
        <v>1.2497619501047379</v>
      </c>
      <c r="BN47" s="217">
        <f t="shared" si="141"/>
        <v>1.5143884892085913</v>
      </c>
      <c r="BO47" s="217">
        <f t="shared" si="141"/>
        <v>-0.1417638941161711</v>
      </c>
      <c r="BP47" s="217">
        <f t="shared" si="141"/>
        <v>0.3290167865707454</v>
      </c>
      <c r="BQ47" s="217">
        <f t="shared" si="141"/>
        <v>0.13376234003656309</v>
      </c>
      <c r="BR47" s="219">
        <v>0.12</v>
      </c>
      <c r="BS47" s="219">
        <v>0.22</v>
      </c>
      <c r="BT47" s="219">
        <v>0.22</v>
      </c>
      <c r="BU47" s="219">
        <v>0.23</v>
      </c>
      <c r="BV47" s="219">
        <v>0.23</v>
      </c>
      <c r="BW47" s="219">
        <v>0.23</v>
      </c>
      <c r="BX47" s="219">
        <v>0.23</v>
      </c>
      <c r="BY47" s="219">
        <v>0.23</v>
      </c>
      <c r="BZ47" s="219">
        <v>0.23</v>
      </c>
      <c r="CA47" s="219">
        <v>0.23</v>
      </c>
    </row>
    <row r="48" spans="2:119" ht="13.5" customHeight="1">
      <c r="B48" s="204" t="s">
        <v>479</v>
      </c>
      <c r="C48" s="217">
        <f t="shared" ref="C48:AR48" si="142">C37/C26</f>
        <v>6.4102564102564097E-2</v>
      </c>
      <c r="D48" s="217">
        <f t="shared" si="142"/>
        <v>-6.3829787234042562E-2</v>
      </c>
      <c r="E48" s="217">
        <f t="shared" si="142"/>
        <v>1.785714285714286E-2</v>
      </c>
      <c r="F48" s="217">
        <f t="shared" si="142"/>
        <v>2.9411764705882356E-2</v>
      </c>
      <c r="G48" s="217">
        <f t="shared" si="142"/>
        <v>3.9723661485319514E-2</v>
      </c>
      <c r="H48" s="217">
        <f t="shared" si="142"/>
        <v>4.6082949308755762E-2</v>
      </c>
      <c r="I48" s="217">
        <f t="shared" si="142"/>
        <v>0.17708333333333334</v>
      </c>
      <c r="J48" s="217">
        <f t="shared" si="142"/>
        <v>-3.2831737346101231E-2</v>
      </c>
      <c r="K48" s="217">
        <f t="shared" si="142"/>
        <v>-4.2349726775956283E-2</v>
      </c>
      <c r="L48" s="217">
        <f t="shared" si="142"/>
        <v>-1.9851116625310177E-2</v>
      </c>
      <c r="M48" s="217">
        <f t="shared" si="142"/>
        <v>2.3837902264600714E-3</v>
      </c>
      <c r="N48" s="217">
        <f t="shared" si="142"/>
        <v>9.4693028095733614E-2</v>
      </c>
      <c r="O48" s="217">
        <f t="shared" si="142"/>
        <v>5.3554040895813046E-2</v>
      </c>
      <c r="P48" s="217">
        <f t="shared" si="142"/>
        <v>0.12226277372262774</v>
      </c>
      <c r="Q48" s="217">
        <f t="shared" si="142"/>
        <v>-0.20035778175313057</v>
      </c>
      <c r="R48" s="217">
        <f t="shared" si="142"/>
        <v>5.3807947019867554E-2</v>
      </c>
      <c r="S48" s="217">
        <f t="shared" si="142"/>
        <v>8.1392723393984706E-2</v>
      </c>
      <c r="T48" s="217">
        <f t="shared" si="142"/>
        <v>0.1210795746678489</v>
      </c>
      <c r="U48" s="217">
        <f t="shared" si="142"/>
        <v>7.8851916101561267E-2</v>
      </c>
      <c r="V48" s="217">
        <f t="shared" si="142"/>
        <v>6.4015806031901851E-2</v>
      </c>
      <c r="W48" s="217">
        <f t="shared" si="142"/>
        <v>7.1303714493810132E-3</v>
      </c>
      <c r="X48" s="217">
        <f t="shared" si="142"/>
        <v>-0.12254995242626085</v>
      </c>
      <c r="Y48" s="217">
        <f t="shared" si="142"/>
        <v>-6.5479814692256805E-2</v>
      </c>
      <c r="Z48" s="217">
        <f t="shared" si="142"/>
        <v>1.5804735429447901E-2</v>
      </c>
      <c r="AA48" s="217">
        <f t="shared" si="142"/>
        <v>6.4550827423167867E-2</v>
      </c>
      <c r="AB48" s="217">
        <f t="shared" si="142"/>
        <v>4.5160065111231801E-2</v>
      </c>
      <c r="AC48" s="217">
        <f t="shared" si="142"/>
        <v>4.2204103103629577E-2</v>
      </c>
      <c r="AD48" s="217">
        <f t="shared" si="142"/>
        <v>-0.12081474582087397</v>
      </c>
      <c r="AE48" s="217">
        <f t="shared" si="142"/>
        <v>3.5311427170180187E-4</v>
      </c>
      <c r="AF48" s="217">
        <f t="shared" si="142"/>
        <v>-1.7590014402304399E-2</v>
      </c>
      <c r="AG48" s="217">
        <f t="shared" si="142"/>
        <v>-1.0669162377164264E-2</v>
      </c>
      <c r="AH48" s="217">
        <f t="shared" si="142"/>
        <v>1.7492869508617385E-2</v>
      </c>
      <c r="AI48" s="217">
        <f t="shared" si="142"/>
        <v>3.5642087821044076E-2</v>
      </c>
      <c r="AJ48" s="217">
        <f t="shared" si="142"/>
        <v>7.304015296367114E-2</v>
      </c>
      <c r="AK48" s="217">
        <f t="shared" si="142"/>
        <v>3.399778516057584E-2</v>
      </c>
      <c r="AL48" s="217">
        <f t="shared" si="142"/>
        <v>0.18999719022197256</v>
      </c>
      <c r="AM48" s="217">
        <f t="shared" si="142"/>
        <v>3.9827771797631827E-2</v>
      </c>
      <c r="AN48" s="217">
        <f t="shared" si="142"/>
        <v>-0.20106880427521726</v>
      </c>
      <c r="AO48" s="217">
        <f t="shared" si="142"/>
        <v>9.8006644518272526E-2</v>
      </c>
      <c r="AP48" s="217">
        <f t="shared" si="142"/>
        <v>0.10646592709984153</v>
      </c>
      <c r="AQ48" s="217">
        <f t="shared" si="142"/>
        <v>0.12100635527858333</v>
      </c>
      <c r="AR48" s="217">
        <f t="shared" si="142"/>
        <v>0.13336082838667868</v>
      </c>
      <c r="AS48" s="217">
        <f>AS39/AS26</f>
        <v>0.12927245302169529</v>
      </c>
      <c r="AT48" s="217">
        <f>AT37/AT26</f>
        <v>0.12284598518364738</v>
      </c>
      <c r="AU48" s="217">
        <f>AU39/AU26</f>
        <v>8.6946776319651642E-2</v>
      </c>
      <c r="AV48" s="217">
        <f>AV39/AV26</f>
        <v>8.924844761899875E-2</v>
      </c>
      <c r="AW48" s="219">
        <f>AW39/AW26</f>
        <v>0.11414514377784253</v>
      </c>
      <c r="AX48" s="219">
        <f>AX39/AX26</f>
        <v>0.12311667979112266</v>
      </c>
      <c r="BG48" s="217">
        <f t="shared" ref="BG48:CA48" si="143">BG39/BG26</f>
        <v>5.4809242342826444E-3</v>
      </c>
      <c r="BH48" s="217">
        <f t="shared" si="143"/>
        <v>5.8108621344474004E-2</v>
      </c>
      <c r="BI48" s="217">
        <f t="shared" si="143"/>
        <v>1.3780707010185739E-2</v>
      </c>
      <c r="BJ48" s="217">
        <f t="shared" si="143"/>
        <v>1.4654978646886939E-2</v>
      </c>
      <c r="BK48" s="217">
        <f t="shared" si="143"/>
        <v>8.851979254772073E-2</v>
      </c>
      <c r="BL48" s="217">
        <f t="shared" si="143"/>
        <v>-2.784023182943958E-2</v>
      </c>
      <c r="BM48" s="217">
        <f t="shared" si="143"/>
        <v>7.0680453189582056E-3</v>
      </c>
      <c r="BN48" s="217">
        <f t="shared" si="143"/>
        <v>-2.3632652723951171E-3</v>
      </c>
      <c r="BO48" s="217">
        <f t="shared" si="143"/>
        <v>8.5978536069228742E-2</v>
      </c>
      <c r="BP48" s="217">
        <f t="shared" si="143"/>
        <v>1.1711032981751111E-2</v>
      </c>
      <c r="BQ48" s="217">
        <f t="shared" si="143"/>
        <v>0.12658789668475026</v>
      </c>
      <c r="BR48" s="219">
        <f t="shared" si="143"/>
        <v>0.12689928305837631</v>
      </c>
      <c r="BS48" s="219">
        <f t="shared" si="143"/>
        <v>0.15333777956563985</v>
      </c>
      <c r="BT48" s="219">
        <f t="shared" si="143"/>
        <v>0.17621396066183057</v>
      </c>
      <c r="BU48" s="219">
        <f t="shared" si="143"/>
        <v>0.19573450745631482</v>
      </c>
      <c r="BV48" s="219">
        <f t="shared" si="143"/>
        <v>0.21756347864498451</v>
      </c>
      <c r="BW48" s="219">
        <f t="shared" si="143"/>
        <v>0.23774152047034067</v>
      </c>
      <c r="BX48" s="219">
        <f t="shared" si="143"/>
        <v>0.26028970155508635</v>
      </c>
      <c r="BY48" s="219">
        <f t="shared" si="143"/>
        <v>0.28089287222629222</v>
      </c>
      <c r="BZ48" s="219">
        <f t="shared" si="143"/>
        <v>0.30768096692659852</v>
      </c>
      <c r="CA48" s="219">
        <f t="shared" si="143"/>
        <v>0.33984880179561594</v>
      </c>
    </row>
    <row r="49" spans="2:119" ht="13.5" customHeight="1">
      <c r="AQ49" s="204"/>
      <c r="AR49" s="204"/>
      <c r="AS49" s="210"/>
      <c r="AT49" s="204"/>
    </row>
    <row r="50" spans="2:119" ht="13.5" customHeight="1">
      <c r="B50" s="204" t="s">
        <v>297</v>
      </c>
      <c r="S50" s="223">
        <v>95.605999999999995</v>
      </c>
      <c r="T50" s="223">
        <v>77.260999999999996</v>
      </c>
      <c r="U50" s="223">
        <v>111.581</v>
      </c>
      <c r="V50" s="223">
        <v>72.778999999999996</v>
      </c>
      <c r="W50" s="223">
        <v>72.456000000000003</v>
      </c>
      <c r="X50" s="223">
        <v>134.381</v>
      </c>
      <c r="Y50" s="204">
        <v>80.114999999999995</v>
      </c>
      <c r="Z50" s="223">
        <v>69.67</v>
      </c>
      <c r="AA50" s="223">
        <v>55.631999999999998</v>
      </c>
      <c r="AB50" s="223">
        <v>82.277000000000001</v>
      </c>
      <c r="AC50" s="204">
        <v>66.290000000000006</v>
      </c>
      <c r="AD50" s="223">
        <v>59.378999999999998</v>
      </c>
      <c r="AE50" s="223">
        <v>68.162999999999997</v>
      </c>
      <c r="AF50" s="223">
        <v>58.234000000000002</v>
      </c>
      <c r="AG50" s="223">
        <v>54.844000000000001</v>
      </c>
      <c r="AH50" s="223">
        <v>69.858000000000004</v>
      </c>
      <c r="AI50" s="223">
        <v>94.688000000000002</v>
      </c>
      <c r="AJ50" s="223">
        <v>114.167</v>
      </c>
      <c r="AK50" s="223">
        <v>100.75700000000001</v>
      </c>
      <c r="AL50" s="223">
        <v>167.48599999999999</v>
      </c>
      <c r="AM50" s="223">
        <v>223.114</v>
      </c>
      <c r="AN50" s="223">
        <v>288.33199999999999</v>
      </c>
      <c r="AO50" s="223">
        <v>280.476</v>
      </c>
      <c r="AP50" s="223">
        <v>324.39999999999998</v>
      </c>
      <c r="AQ50" s="223">
        <v>376.05399999999997</v>
      </c>
      <c r="AR50" s="223">
        <v>421.76799999999997</v>
      </c>
      <c r="AS50" s="223">
        <v>321.029</v>
      </c>
      <c r="AT50" s="223">
        <v>186.89</v>
      </c>
      <c r="AU50" s="223">
        <v>241.28899999999999</v>
      </c>
      <c r="AV50" s="223">
        <v>205.27099999999999</v>
      </c>
      <c r="AW50" s="212">
        <f>AV50+AW39</f>
        <v>253.55099999999999</v>
      </c>
      <c r="AX50" s="212">
        <f>AW50+AX39</f>
        <v>310.05099999999999</v>
      </c>
      <c r="BK50" s="223">
        <f t="shared" ref="BK50:BK61" si="144">V50</f>
        <v>72.778999999999996</v>
      </c>
      <c r="BL50" s="223">
        <f t="shared" ref="BL50:BL61" si="145">Z50</f>
        <v>69.67</v>
      </c>
      <c r="BM50" s="223">
        <f t="shared" ref="BM50:BM61" si="146">AD50</f>
        <v>59.378999999999998</v>
      </c>
      <c r="BN50" s="223">
        <f t="shared" ref="BN50:BN61" si="147">AH50</f>
        <v>69.858000000000004</v>
      </c>
      <c r="BO50" s="223">
        <f t="shared" ref="BO50:BO61" si="148">AL50</f>
        <v>167.48599999999999</v>
      </c>
      <c r="BP50" s="223">
        <f t="shared" ref="BP50:BP61" si="149">AP50</f>
        <v>324.39999999999998</v>
      </c>
      <c r="BQ50" s="223">
        <v>186.89</v>
      </c>
      <c r="BR50" s="225">
        <f t="shared" ref="BR50:CA50" si="150">BQ50+BR39</f>
        <v>395.34139791520005</v>
      </c>
      <c r="BS50" s="225">
        <f t="shared" si="150"/>
        <v>688.48836711373701</v>
      </c>
      <c r="BT50" s="225">
        <f t="shared" si="150"/>
        <v>1077.3749135902258</v>
      </c>
      <c r="BU50" s="225">
        <f t="shared" si="150"/>
        <v>1572.1019758649797</v>
      </c>
      <c r="BV50" s="225">
        <f t="shared" si="150"/>
        <v>2197.1748859763752</v>
      </c>
      <c r="BW50" s="225">
        <f t="shared" si="150"/>
        <v>2965.6671995660899</v>
      </c>
      <c r="BX50" s="225">
        <f t="shared" si="150"/>
        <v>3908.2081445401282</v>
      </c>
      <c r="BY50" s="225">
        <f t="shared" si="150"/>
        <v>5042.9023236998109</v>
      </c>
      <c r="BZ50" s="225">
        <f t="shared" si="150"/>
        <v>6425.2888373259593</v>
      </c>
      <c r="CA50" s="225">
        <f t="shared" si="150"/>
        <v>8118.33376873411</v>
      </c>
    </row>
    <row r="51" spans="2:119" ht="13.5" customHeight="1">
      <c r="B51" s="204" t="s">
        <v>298</v>
      </c>
      <c r="S51" s="223">
        <v>99.241</v>
      </c>
      <c r="T51" s="223">
        <v>109.996</v>
      </c>
      <c r="U51" s="223">
        <v>82.864000000000004</v>
      </c>
      <c r="V51" s="223">
        <v>116.61</v>
      </c>
      <c r="W51" s="223">
        <v>95.766000000000005</v>
      </c>
      <c r="X51" s="223">
        <v>143.91399999999999</v>
      </c>
      <c r="Y51" s="204">
        <v>188.61099999999999</v>
      </c>
      <c r="Z51" s="223">
        <v>195.16200000000001</v>
      </c>
      <c r="AA51" s="223">
        <v>186.977</v>
      </c>
      <c r="AB51" s="223">
        <v>156.72200000000001</v>
      </c>
      <c r="AC51" s="204">
        <v>200.637</v>
      </c>
      <c r="AD51" s="223">
        <v>195.49600000000001</v>
      </c>
      <c r="AE51" s="223">
        <v>172.178</v>
      </c>
      <c r="AF51" s="223">
        <v>146.13499999999999</v>
      </c>
      <c r="AG51" s="223">
        <v>129.583</v>
      </c>
      <c r="AH51" s="223">
        <v>118.172</v>
      </c>
      <c r="AI51" s="223">
        <v>104.40900000000001</v>
      </c>
      <c r="AJ51" s="223">
        <v>106.896</v>
      </c>
      <c r="AK51" s="223">
        <v>148.09800000000001</v>
      </c>
      <c r="AL51" s="223">
        <v>121.70099999999999</v>
      </c>
      <c r="AM51" s="223">
        <v>90.36</v>
      </c>
      <c r="AN51" s="223">
        <v>51.363</v>
      </c>
      <c r="AO51" s="223">
        <v>10.548</v>
      </c>
      <c r="AP51" s="223">
        <v>15.727</v>
      </c>
      <c r="AQ51" s="223">
        <v>2.794</v>
      </c>
      <c r="AR51" s="223">
        <v>2.7949999999999999</v>
      </c>
      <c r="AS51" s="223">
        <v>149.267</v>
      </c>
      <c r="AT51" s="223">
        <v>357.91899999999998</v>
      </c>
      <c r="AU51" s="223">
        <v>374.37099999999998</v>
      </c>
      <c r="AV51" s="223">
        <v>453.524</v>
      </c>
      <c r="BK51" s="223">
        <f t="shared" si="144"/>
        <v>116.61</v>
      </c>
      <c r="BL51" s="223">
        <f t="shared" si="145"/>
        <v>195.16200000000001</v>
      </c>
      <c r="BM51" s="223">
        <f t="shared" si="146"/>
        <v>195.49600000000001</v>
      </c>
      <c r="BN51" s="223">
        <f t="shared" si="147"/>
        <v>118.172</v>
      </c>
      <c r="BO51" s="223">
        <f t="shared" si="148"/>
        <v>121.70099999999999</v>
      </c>
      <c r="BP51" s="223">
        <f t="shared" si="149"/>
        <v>15.727</v>
      </c>
      <c r="BQ51" s="223">
        <v>357.91899999999998</v>
      </c>
    </row>
    <row r="52" spans="2:119" ht="13.5" customHeight="1">
      <c r="B52" s="204" t="s">
        <v>299</v>
      </c>
      <c r="S52" s="223">
        <v>94.679000000000002</v>
      </c>
      <c r="T52" s="223">
        <v>99.010999999999996</v>
      </c>
      <c r="U52" s="223">
        <v>101.828</v>
      </c>
      <c r="V52" s="223">
        <v>105.901</v>
      </c>
      <c r="W52" s="223">
        <v>103.96299999999999</v>
      </c>
      <c r="X52" s="223">
        <v>97.613</v>
      </c>
      <c r="Y52" s="204">
        <v>112.81699999999999</v>
      </c>
      <c r="Z52" s="223">
        <v>114.608</v>
      </c>
      <c r="AA52" s="223">
        <v>126.41500000000001</v>
      </c>
      <c r="AB52" s="223">
        <v>136.61000000000001</v>
      </c>
      <c r="AC52" s="204">
        <v>120.074</v>
      </c>
      <c r="AD52" s="223">
        <v>133.94</v>
      </c>
      <c r="AE52" s="223">
        <v>143.417</v>
      </c>
      <c r="AF52" s="223">
        <v>187.38900000000001</v>
      </c>
      <c r="AG52" s="223">
        <v>189.006</v>
      </c>
      <c r="AH52" s="223">
        <v>203.38399999999999</v>
      </c>
      <c r="AI52" s="223">
        <v>207.364</v>
      </c>
      <c r="AJ52" s="223">
        <v>208.965</v>
      </c>
      <c r="AK52" s="223">
        <v>206.61500000000001</v>
      </c>
      <c r="AL52" s="223">
        <v>201.768</v>
      </c>
      <c r="AM52" s="223">
        <v>191.989</v>
      </c>
      <c r="AN52" s="223">
        <v>200.83099999999999</v>
      </c>
      <c r="AO52" s="223">
        <v>176.05099999999999</v>
      </c>
      <c r="AP52" s="223">
        <v>167.667</v>
      </c>
      <c r="AQ52" s="223">
        <v>167.98099999999999</v>
      </c>
      <c r="AR52" s="223">
        <v>175.536</v>
      </c>
      <c r="AS52" s="223">
        <v>183.43</v>
      </c>
      <c r="AT52" s="223">
        <v>190.02</v>
      </c>
      <c r="AU52" s="223">
        <v>183.29499999999999</v>
      </c>
      <c r="AV52" s="223">
        <v>190.40700000000001</v>
      </c>
      <c r="BK52" s="223">
        <f t="shared" si="144"/>
        <v>105.901</v>
      </c>
      <c r="BL52" s="223">
        <f t="shared" si="145"/>
        <v>114.608</v>
      </c>
      <c r="BM52" s="223">
        <f t="shared" si="146"/>
        <v>133.94</v>
      </c>
      <c r="BN52" s="223">
        <f t="shared" si="147"/>
        <v>203.38399999999999</v>
      </c>
      <c r="BO52" s="223">
        <f t="shared" si="148"/>
        <v>201.768</v>
      </c>
      <c r="BP52" s="223">
        <f t="shared" si="149"/>
        <v>167.667</v>
      </c>
      <c r="BQ52" s="223">
        <v>190.02</v>
      </c>
      <c r="CF52" s="229"/>
      <c r="CH52" s="230"/>
    </row>
    <row r="53" spans="2:119" ht="13.5" customHeight="1">
      <c r="B53" s="204" t="s">
        <v>300</v>
      </c>
      <c r="S53" s="223">
        <v>121.691</v>
      </c>
      <c r="T53" s="223">
        <v>132.73500000000001</v>
      </c>
      <c r="U53" s="223">
        <v>140.35900000000001</v>
      </c>
      <c r="V53" s="223">
        <v>152.99199999999999</v>
      </c>
      <c r="W53" s="223">
        <v>166.15199999999999</v>
      </c>
      <c r="X53" s="223">
        <v>183.44200000000001</v>
      </c>
      <c r="Y53" s="204">
        <v>191.547</v>
      </c>
      <c r="Z53" s="223">
        <v>219.52699999999999</v>
      </c>
      <c r="AA53" s="223">
        <v>245.321</v>
      </c>
      <c r="AB53" s="223">
        <v>254.977</v>
      </c>
      <c r="AC53" s="204">
        <v>258.31599999999997</v>
      </c>
      <c r="AD53" s="223">
        <v>263.50400000000002</v>
      </c>
      <c r="AE53" s="223">
        <v>274.34899999999999</v>
      </c>
      <c r="AF53" s="223">
        <v>295.88299999999998</v>
      </c>
      <c r="AG53" s="223">
        <v>320.30399999999997</v>
      </c>
      <c r="AH53" s="223">
        <v>334.00599999999997</v>
      </c>
      <c r="AI53" s="223">
        <v>344.04199999999997</v>
      </c>
      <c r="AJ53" s="223">
        <v>358.77</v>
      </c>
      <c r="AK53" s="223">
        <v>374.245</v>
      </c>
      <c r="AL53" s="223">
        <v>388.02300000000002</v>
      </c>
      <c r="AM53" s="204">
        <v>398.36599999999999</v>
      </c>
      <c r="AN53" s="223">
        <v>373.79899999999998</v>
      </c>
      <c r="AO53" s="223">
        <v>393.41300000000001</v>
      </c>
      <c r="AP53" s="223">
        <v>406.73700000000002</v>
      </c>
      <c r="AQ53" s="223">
        <v>415.863</v>
      </c>
      <c r="AR53" s="223">
        <v>427.62799999999999</v>
      </c>
      <c r="AS53" s="223">
        <v>432.36500000000001</v>
      </c>
      <c r="AT53" s="223">
        <v>431.54899999999998</v>
      </c>
      <c r="AU53" s="223">
        <v>438.53899999999999</v>
      </c>
      <c r="AV53" s="223">
        <v>442.65</v>
      </c>
      <c r="BK53" s="223">
        <f t="shared" si="144"/>
        <v>152.99199999999999</v>
      </c>
      <c r="BL53" s="223">
        <f t="shared" si="145"/>
        <v>219.52699999999999</v>
      </c>
      <c r="BM53" s="223">
        <f t="shared" si="146"/>
        <v>263.50400000000002</v>
      </c>
      <c r="BN53" s="223">
        <f t="shared" si="147"/>
        <v>334.00599999999997</v>
      </c>
      <c r="BO53" s="223">
        <f t="shared" si="148"/>
        <v>388.02300000000002</v>
      </c>
      <c r="BP53" s="223">
        <f t="shared" si="149"/>
        <v>406.73700000000002</v>
      </c>
      <c r="BQ53" s="223">
        <v>431.54899999999998</v>
      </c>
      <c r="BS53" s="244" t="s">
        <v>1575</v>
      </c>
      <c r="BT53" s="149"/>
      <c r="BU53" s="149"/>
      <c r="BV53" s="245" t="s">
        <v>2585</v>
      </c>
      <c r="BW53" s="246"/>
      <c r="BX53" s="229" t="s">
        <v>1576</v>
      </c>
      <c r="BY53" s="246"/>
      <c r="BZ53" s="231" t="s">
        <v>505</v>
      </c>
      <c r="CA53" s="232">
        <v>0.16</v>
      </c>
      <c r="CD53" s="208" t="s">
        <v>550</v>
      </c>
    </row>
    <row r="54" spans="2:119" ht="13.5" customHeight="1">
      <c r="B54" s="204" t="s">
        <v>301</v>
      </c>
      <c r="S54" s="223">
        <v>11.869</v>
      </c>
      <c r="T54" s="223">
        <v>15.601000000000001</v>
      </c>
      <c r="U54" s="223">
        <v>14.702</v>
      </c>
      <c r="V54" s="223">
        <v>14.852</v>
      </c>
      <c r="W54" s="223">
        <v>15.403</v>
      </c>
      <c r="X54" s="223">
        <v>16.545000000000002</v>
      </c>
      <c r="Y54" s="204">
        <v>17.109000000000002</v>
      </c>
      <c r="Z54" s="223">
        <v>18.734999999999999</v>
      </c>
      <c r="AA54" s="223">
        <v>20.782</v>
      </c>
      <c r="AB54" s="223">
        <v>22.526</v>
      </c>
      <c r="AC54" s="204">
        <v>22.67</v>
      </c>
      <c r="AD54" s="223">
        <v>29.155000000000001</v>
      </c>
      <c r="AE54" s="223">
        <v>32.219000000000001</v>
      </c>
      <c r="AF54" s="223">
        <v>30.32</v>
      </c>
      <c r="AG54" s="223">
        <v>29.888000000000002</v>
      </c>
      <c r="AH54" s="223">
        <v>30.279</v>
      </c>
      <c r="AI54" s="223">
        <v>35.987000000000002</v>
      </c>
      <c r="AJ54" s="223">
        <v>39.078000000000003</v>
      </c>
      <c r="AK54" s="223">
        <v>38.761000000000003</v>
      </c>
      <c r="AL54" s="223">
        <v>36.423999999999999</v>
      </c>
      <c r="AM54" s="223">
        <v>31.193999999999999</v>
      </c>
      <c r="AN54" s="223">
        <v>29.47</v>
      </c>
      <c r="AO54" s="223">
        <v>31.265000000000001</v>
      </c>
      <c r="AP54" s="223">
        <v>36.588999999999999</v>
      </c>
      <c r="AQ54" s="223">
        <v>37.017000000000003</v>
      </c>
      <c r="AR54" s="223">
        <v>37.756999999999998</v>
      </c>
      <c r="AS54" s="223">
        <v>55.429000000000002</v>
      </c>
      <c r="AT54" s="223">
        <v>50.298000000000002</v>
      </c>
      <c r="AU54" s="223">
        <v>37.911999999999999</v>
      </c>
      <c r="AV54" s="223">
        <v>52.27</v>
      </c>
      <c r="BK54" s="223">
        <f t="shared" si="144"/>
        <v>14.852</v>
      </c>
      <c r="BL54" s="223">
        <f t="shared" si="145"/>
        <v>18.734999999999999</v>
      </c>
      <c r="BM54" s="223">
        <f t="shared" si="146"/>
        <v>29.155000000000001</v>
      </c>
      <c r="BN54" s="223">
        <f t="shared" si="147"/>
        <v>30.279</v>
      </c>
      <c r="BO54" s="223">
        <f t="shared" si="148"/>
        <v>36.423999999999999</v>
      </c>
      <c r="BP54" s="223">
        <f t="shared" si="149"/>
        <v>36.588999999999999</v>
      </c>
      <c r="BQ54" s="223">
        <v>50.298000000000002</v>
      </c>
      <c r="BS54" s="246">
        <v>2024</v>
      </c>
      <c r="BT54" s="246">
        <v>2025</v>
      </c>
      <c r="BU54" s="149"/>
      <c r="BV54" s="245" t="s">
        <v>2586</v>
      </c>
      <c r="BW54" s="246"/>
      <c r="BX54" s="209">
        <v>2025</v>
      </c>
      <c r="BY54" s="246"/>
      <c r="BZ54" s="231" t="s">
        <v>610</v>
      </c>
      <c r="CA54" s="232">
        <v>2.4500000000000001E-2</v>
      </c>
      <c r="CE54" s="209" t="s">
        <v>1746</v>
      </c>
    </row>
    <row r="55" spans="2:119" ht="13.5" customHeight="1">
      <c r="B55" s="204" t="s">
        <v>302</v>
      </c>
      <c r="S55" s="223">
        <v>35.380000000000003</v>
      </c>
      <c r="T55" s="223">
        <v>37.94</v>
      </c>
      <c r="U55" s="223">
        <v>45.625</v>
      </c>
      <c r="V55" s="223">
        <v>51.811999999999998</v>
      </c>
      <c r="W55" s="223">
        <v>58.698</v>
      </c>
      <c r="X55" s="223">
        <v>62.188000000000002</v>
      </c>
      <c r="Y55" s="204">
        <v>64.906000000000006</v>
      </c>
      <c r="Z55" s="223">
        <v>48.168999999999997</v>
      </c>
      <c r="AA55" s="223">
        <v>50.314</v>
      </c>
      <c r="AB55" s="223">
        <v>50.853999999999999</v>
      </c>
      <c r="AC55" s="204">
        <v>56.631999999999998</v>
      </c>
      <c r="AD55" s="223">
        <v>58.856000000000002</v>
      </c>
      <c r="AE55" s="223">
        <v>60.326999999999998</v>
      </c>
      <c r="AF55" s="223">
        <v>63.457999999999998</v>
      </c>
      <c r="AG55" s="223">
        <v>64.081999999999994</v>
      </c>
      <c r="AH55" s="223">
        <v>65.015000000000001</v>
      </c>
      <c r="AI55" s="223">
        <v>65.224000000000004</v>
      </c>
      <c r="AJ55" s="223">
        <v>65.957999999999998</v>
      </c>
      <c r="AK55" s="223">
        <v>65.632000000000005</v>
      </c>
      <c r="AL55" s="223">
        <v>72.691000000000003</v>
      </c>
      <c r="AM55" s="223">
        <v>75.744</v>
      </c>
      <c r="AN55" s="223">
        <v>57.709000000000003</v>
      </c>
      <c r="AO55" s="223">
        <v>59.918999999999997</v>
      </c>
      <c r="AP55" s="223">
        <v>62.640999999999998</v>
      </c>
      <c r="AQ55" s="223">
        <v>72.465000000000003</v>
      </c>
      <c r="AR55" s="223">
        <v>84.825000000000003</v>
      </c>
      <c r="AS55" s="223">
        <v>97.73</v>
      </c>
      <c r="AT55" s="223">
        <v>117.43600000000001</v>
      </c>
      <c r="AU55" s="223">
        <v>134.059</v>
      </c>
      <c r="AV55" s="223">
        <v>146.71799999999999</v>
      </c>
      <c r="BK55" s="223">
        <f t="shared" si="144"/>
        <v>51.811999999999998</v>
      </c>
      <c r="BL55" s="223">
        <f t="shared" si="145"/>
        <v>48.168999999999997</v>
      </c>
      <c r="BM55" s="223">
        <f t="shared" si="146"/>
        <v>58.856000000000002</v>
      </c>
      <c r="BN55" s="223">
        <f t="shared" si="147"/>
        <v>65.015000000000001</v>
      </c>
      <c r="BO55" s="223">
        <f t="shared" si="148"/>
        <v>72.691000000000003</v>
      </c>
      <c r="BP55" s="223">
        <f t="shared" si="149"/>
        <v>62.640999999999998</v>
      </c>
      <c r="BQ55" s="223">
        <v>117.43600000000001</v>
      </c>
      <c r="BS55" s="248">
        <f>SUM(BP50:BP53)-BP64+BP56+BP58+BP57</f>
        <v>1095.5229999999999</v>
      </c>
      <c r="BT55" s="248">
        <f>SUM(BQ50:BQ53)-BQ64+BQ56+BQ58+BQ57</f>
        <v>1337.3869999999997</v>
      </c>
      <c r="BU55" s="149"/>
      <c r="BV55" s="248">
        <f>AVERAGE(BS55:BS55)</f>
        <v>1095.5229999999999</v>
      </c>
      <c r="BW55" s="246"/>
      <c r="BX55" s="212">
        <f>AVERAGE(BR33)*(1-BR47)</f>
        <v>182.13728591520004</v>
      </c>
      <c r="BY55" s="246"/>
      <c r="BZ55" s="231" t="s">
        <v>583</v>
      </c>
      <c r="CA55" s="232">
        <f>'Bull Case (30%)'!BV64</f>
        <v>5.11E-2</v>
      </c>
      <c r="CE55" s="209" t="s">
        <v>1747</v>
      </c>
    </row>
    <row r="56" spans="2:119" ht="13.5" customHeight="1">
      <c r="B56" s="204" t="s">
        <v>304</v>
      </c>
      <c r="S56" s="223">
        <v>42.375999999999998</v>
      </c>
      <c r="T56" s="223">
        <v>42.475999999999999</v>
      </c>
      <c r="U56" s="223">
        <v>41.817</v>
      </c>
      <c r="V56" s="223">
        <v>43.716999999999999</v>
      </c>
      <c r="W56" s="223">
        <v>43.167999999999999</v>
      </c>
      <c r="X56" s="223">
        <v>42.668999999999997</v>
      </c>
      <c r="Y56" s="204">
        <v>41.777999999999999</v>
      </c>
      <c r="Z56" s="223">
        <v>41.192</v>
      </c>
      <c r="AA56" s="223">
        <v>40.691000000000003</v>
      </c>
      <c r="AB56" s="223">
        <v>92.790999999999997</v>
      </c>
      <c r="AC56" s="204">
        <v>133.55199999999999</v>
      </c>
      <c r="AD56" s="223">
        <v>131.95500000000001</v>
      </c>
      <c r="AE56" s="223">
        <v>176.892</v>
      </c>
      <c r="AF56" s="223">
        <v>177.423</v>
      </c>
      <c r="AG56" s="223">
        <v>174.684</v>
      </c>
      <c r="AH56" s="223">
        <v>192.636</v>
      </c>
      <c r="AI56" s="223">
        <v>189.839</v>
      </c>
      <c r="AJ56" s="223">
        <v>187.494</v>
      </c>
      <c r="AK56" s="223">
        <v>184.52</v>
      </c>
      <c r="AL56" s="223">
        <v>188.756</v>
      </c>
      <c r="AM56" s="223">
        <v>185.845</v>
      </c>
      <c r="AN56" s="223">
        <v>183.316</v>
      </c>
      <c r="AO56" s="223">
        <v>180.923</v>
      </c>
      <c r="AP56" s="223">
        <v>177.78700000000001</v>
      </c>
      <c r="AQ56" s="223">
        <v>175.33099999999999</v>
      </c>
      <c r="AR56" s="223">
        <v>174.059</v>
      </c>
      <c r="AS56" s="223">
        <v>170.715</v>
      </c>
      <c r="AT56" s="223">
        <v>173.58699999999999</v>
      </c>
      <c r="AU56" s="223">
        <v>170.273</v>
      </c>
      <c r="AV56" s="223">
        <v>167.19399999999999</v>
      </c>
      <c r="BK56" s="223">
        <f t="shared" si="144"/>
        <v>43.716999999999999</v>
      </c>
      <c r="BL56" s="223">
        <f t="shared" si="145"/>
        <v>41.192</v>
      </c>
      <c r="BM56" s="223">
        <f t="shared" si="146"/>
        <v>131.95500000000001</v>
      </c>
      <c r="BN56" s="223">
        <f t="shared" si="147"/>
        <v>192.636</v>
      </c>
      <c r="BO56" s="223">
        <f t="shared" si="148"/>
        <v>188.756</v>
      </c>
      <c r="BP56" s="223">
        <f t="shared" si="149"/>
        <v>177.78700000000001</v>
      </c>
      <c r="BQ56" s="223">
        <v>173.58699999999999</v>
      </c>
      <c r="BS56" s="149"/>
      <c r="BT56" s="246"/>
      <c r="BU56" s="246"/>
      <c r="BV56" s="246"/>
      <c r="BW56" s="246"/>
      <c r="BX56" s="220">
        <f>BX55/BV55</f>
        <v>0.16625601280411278</v>
      </c>
      <c r="BY56" s="246"/>
      <c r="BZ56" s="231" t="s">
        <v>650</v>
      </c>
      <c r="CA56" s="232">
        <f>10.1%-CA55</f>
        <v>4.9899999999999993E-2</v>
      </c>
      <c r="CE56" s="209" t="s">
        <v>1509</v>
      </c>
    </row>
    <row r="57" spans="2:119" ht="13.5" customHeight="1">
      <c r="B57" s="204" t="s">
        <v>303</v>
      </c>
      <c r="T57" s="204">
        <v>0</v>
      </c>
      <c r="U57" s="204">
        <v>0</v>
      </c>
      <c r="V57" s="223">
        <v>39.923999999999999</v>
      </c>
      <c r="W57" s="223">
        <v>39.286999999999999</v>
      </c>
      <c r="X57" s="223">
        <v>37.927</v>
      </c>
      <c r="Y57" s="204">
        <v>38.798000000000002</v>
      </c>
      <c r="Z57" s="223">
        <v>38.064999999999998</v>
      </c>
      <c r="AA57" s="223">
        <v>37.697000000000003</v>
      </c>
      <c r="AB57" s="223">
        <v>37.030999999999999</v>
      </c>
      <c r="AC57" s="204">
        <v>36.844999999999999</v>
      </c>
      <c r="AD57" s="223">
        <v>36.276000000000003</v>
      </c>
      <c r="AE57" s="223">
        <v>35.549999999999997</v>
      </c>
      <c r="AF57" s="223">
        <v>34.743000000000002</v>
      </c>
      <c r="AG57" s="223">
        <v>34.113999999999997</v>
      </c>
      <c r="AH57" s="223">
        <v>33.323</v>
      </c>
      <c r="AI57" s="223">
        <v>32.569000000000003</v>
      </c>
      <c r="AJ57" s="223">
        <v>31.751000000000001</v>
      </c>
      <c r="AK57" s="223">
        <v>31.364000000000001</v>
      </c>
      <c r="AL57" s="223">
        <v>31.091999999999999</v>
      </c>
      <c r="AM57" s="223">
        <v>30.234000000000002</v>
      </c>
      <c r="AN57" s="223">
        <v>29.366</v>
      </c>
      <c r="AO57" s="223">
        <v>28.888000000000002</v>
      </c>
      <c r="AP57" s="223">
        <v>28.018000000000001</v>
      </c>
      <c r="AQ57" s="223">
        <v>27.126000000000001</v>
      </c>
      <c r="AR57" s="223">
        <v>27.606000000000002</v>
      </c>
      <c r="AS57" s="223">
        <v>26.79</v>
      </c>
      <c r="AT57" s="223">
        <v>25.972000000000001</v>
      </c>
      <c r="AU57" s="223">
        <v>25.209</v>
      </c>
      <c r="AV57" s="223">
        <v>24.356999999999999</v>
      </c>
      <c r="BK57" s="223">
        <f t="shared" si="144"/>
        <v>39.923999999999999</v>
      </c>
      <c r="BL57" s="223">
        <f t="shared" si="145"/>
        <v>38.064999999999998</v>
      </c>
      <c r="BM57" s="223">
        <f t="shared" si="146"/>
        <v>36.276000000000003</v>
      </c>
      <c r="BN57" s="223">
        <f t="shared" si="147"/>
        <v>33.323</v>
      </c>
      <c r="BO57" s="223">
        <f t="shared" si="148"/>
        <v>31.091999999999999</v>
      </c>
      <c r="BP57" s="223">
        <f t="shared" si="149"/>
        <v>28.018000000000001</v>
      </c>
      <c r="BQ57" s="223">
        <v>25.972000000000001</v>
      </c>
      <c r="BS57" s="250" t="s">
        <v>2368</v>
      </c>
      <c r="BT57" s="246"/>
      <c r="BU57" s="246"/>
      <c r="BV57" s="149"/>
      <c r="BW57" s="246"/>
      <c r="BX57" s="246"/>
      <c r="BY57" s="246"/>
      <c r="BZ57" s="231" t="s">
        <v>548</v>
      </c>
      <c r="CA57" s="227">
        <f>'Notes | Analysis'!T240</f>
        <v>0.76850681198020476</v>
      </c>
      <c r="CD57" s="208" t="s">
        <v>549</v>
      </c>
    </row>
    <row r="58" spans="2:119" ht="13.5" customHeight="1">
      <c r="B58" s="204" t="s">
        <v>305</v>
      </c>
      <c r="S58" s="223">
        <v>26.812999999999999</v>
      </c>
      <c r="T58" s="223">
        <v>26.030999999999999</v>
      </c>
      <c r="U58" s="223">
        <v>25.494</v>
      </c>
      <c r="V58" s="223">
        <v>25.407</v>
      </c>
      <c r="W58" s="223">
        <v>25.024000000000001</v>
      </c>
      <c r="X58" s="223">
        <v>10.645</v>
      </c>
      <c r="Y58" s="204">
        <v>10.64</v>
      </c>
      <c r="Z58" s="223">
        <v>10.638999999999999</v>
      </c>
      <c r="AA58" s="223">
        <v>10.097</v>
      </c>
      <c r="AB58" s="223">
        <v>9.8949999999999996</v>
      </c>
      <c r="AC58" s="204">
        <v>9.49</v>
      </c>
      <c r="AD58" s="223">
        <v>90.617999999999995</v>
      </c>
      <c r="AE58" s="223">
        <v>88.471999999999994</v>
      </c>
      <c r="AF58" s="223">
        <v>86.162000000000006</v>
      </c>
      <c r="AG58" s="223">
        <v>83.36</v>
      </c>
      <c r="AH58" s="223">
        <v>81.161000000000001</v>
      </c>
      <c r="AI58" s="223">
        <v>78.668999999999997</v>
      </c>
      <c r="AJ58" s="223">
        <v>76.116</v>
      </c>
      <c r="AK58" s="223">
        <v>73.451999999999998</v>
      </c>
      <c r="AL58" s="223">
        <v>71.055999999999997</v>
      </c>
      <c r="AM58" s="223">
        <v>68.421000000000006</v>
      </c>
      <c r="AN58" s="223">
        <v>6.9550000000000001</v>
      </c>
      <c r="AO58" s="223">
        <v>6.92</v>
      </c>
      <c r="AP58" s="223">
        <v>6.5129999999999999</v>
      </c>
      <c r="AQ58" s="223">
        <v>6.4690000000000003</v>
      </c>
      <c r="AR58" s="223">
        <v>6.5519999999999996</v>
      </c>
      <c r="AS58" s="223">
        <v>6.3680000000000003</v>
      </c>
      <c r="AT58" s="223">
        <v>6.1859999999999999</v>
      </c>
      <c r="AU58" s="223">
        <v>5.9459999999999997</v>
      </c>
      <c r="AV58" s="223">
        <v>5.742</v>
      </c>
      <c r="BK58" s="223">
        <f t="shared" si="144"/>
        <v>25.407</v>
      </c>
      <c r="BL58" s="223">
        <f t="shared" si="145"/>
        <v>10.638999999999999</v>
      </c>
      <c r="BM58" s="223">
        <f t="shared" si="146"/>
        <v>90.617999999999995</v>
      </c>
      <c r="BN58" s="223">
        <f t="shared" si="147"/>
        <v>81.161000000000001</v>
      </c>
      <c r="BO58" s="223">
        <f t="shared" si="148"/>
        <v>71.055999999999997</v>
      </c>
      <c r="BP58" s="223">
        <f t="shared" si="149"/>
        <v>6.5129999999999999</v>
      </c>
      <c r="BQ58" s="223">
        <v>6.1859999999999999</v>
      </c>
      <c r="BS58" s="252" t="s">
        <v>2369</v>
      </c>
      <c r="BT58" s="149"/>
      <c r="BU58" s="149"/>
      <c r="BV58" s="249">
        <f>'Main | Overview'!C5</f>
        <v>12569.423790000001</v>
      </c>
      <c r="BW58" s="246"/>
      <c r="BX58" s="149"/>
      <c r="BY58" s="246"/>
      <c r="BZ58" s="231" t="s">
        <v>611</v>
      </c>
      <c r="CA58" s="232">
        <f>+CA55+(CA56*CA57)</f>
        <v>8.9448489917812207E-2</v>
      </c>
      <c r="CE58" s="209" t="s">
        <v>1566</v>
      </c>
    </row>
    <row r="59" spans="2:119" ht="13.5" customHeight="1">
      <c r="B59" s="204" t="s">
        <v>306</v>
      </c>
      <c r="S59" s="223">
        <v>7.6589999999999998</v>
      </c>
      <c r="T59" s="223">
        <v>7.7649999999999997</v>
      </c>
      <c r="U59" s="223">
        <v>7.452</v>
      </c>
      <c r="V59" s="223">
        <v>7.6559999999999997</v>
      </c>
      <c r="W59" s="223">
        <v>7.5090000000000003</v>
      </c>
      <c r="X59" s="223">
        <v>7.665</v>
      </c>
      <c r="Y59" s="204">
        <v>8.0039999999999996</v>
      </c>
      <c r="Z59" s="223">
        <v>8.3719999999999999</v>
      </c>
      <c r="AA59" s="223">
        <v>8.0060000000000002</v>
      </c>
      <c r="AB59" s="223">
        <v>8.109</v>
      </c>
      <c r="AC59" s="204">
        <v>7.9109999999999996</v>
      </c>
      <c r="AD59" s="223">
        <v>166.38800000000001</v>
      </c>
      <c r="AE59" s="223">
        <v>166.232</v>
      </c>
      <c r="AF59" s="223">
        <v>165.779</v>
      </c>
      <c r="AG59" s="223">
        <v>165.42599999999999</v>
      </c>
      <c r="AH59" s="223">
        <v>166.04599999999999</v>
      </c>
      <c r="AI59" s="223">
        <v>166.161</v>
      </c>
      <c r="AJ59" s="223">
        <v>166.166</v>
      </c>
      <c r="AK59" s="223">
        <v>165.95400000000001</v>
      </c>
      <c r="AL59" s="223">
        <v>166.27</v>
      </c>
      <c r="AM59" s="223">
        <v>166.10300000000001</v>
      </c>
      <c r="AN59" s="223">
        <v>166.05</v>
      </c>
      <c r="AO59" s="223">
        <v>166.35499999999999</v>
      </c>
      <c r="AP59" s="223">
        <v>165.82599999999999</v>
      </c>
      <c r="AQ59" s="223">
        <v>166.12299999999999</v>
      </c>
      <c r="AR59" s="223">
        <v>166.75200000000001</v>
      </c>
      <c r="AS59" s="223">
        <v>166.74799999999999</v>
      </c>
      <c r="AT59" s="223">
        <v>166.75</v>
      </c>
      <c r="AU59" s="223">
        <v>166.589</v>
      </c>
      <c r="AV59" s="223">
        <v>166.523</v>
      </c>
      <c r="BK59" s="223">
        <f t="shared" si="144"/>
        <v>7.6559999999999997</v>
      </c>
      <c r="BL59" s="223">
        <f t="shared" si="145"/>
        <v>8.3719999999999999</v>
      </c>
      <c r="BM59" s="223">
        <f t="shared" si="146"/>
        <v>166.38800000000001</v>
      </c>
      <c r="BN59" s="223">
        <f t="shared" si="147"/>
        <v>166.04599999999999</v>
      </c>
      <c r="BO59" s="223">
        <f t="shared" si="148"/>
        <v>166.27</v>
      </c>
      <c r="BP59" s="223">
        <f t="shared" si="149"/>
        <v>165.82599999999999</v>
      </c>
      <c r="BQ59" s="223">
        <v>166.75</v>
      </c>
      <c r="BS59" s="252" t="s">
        <v>2370</v>
      </c>
      <c r="BT59" s="149"/>
      <c r="BU59" s="149"/>
      <c r="BV59" s="253">
        <f>'Main | Overview'!C7/('Main | Overview'!C7+BV58)</f>
        <v>0</v>
      </c>
      <c r="BW59" s="250"/>
      <c r="BX59" s="149"/>
      <c r="BY59" s="246"/>
      <c r="BZ59" s="231"/>
      <c r="CE59" s="209" t="s">
        <v>565</v>
      </c>
      <c r="CL59" s="208"/>
      <c r="CM59" s="208"/>
    </row>
    <row r="60" spans="2:119" ht="13.5" customHeight="1">
      <c r="B60" s="204" t="s">
        <v>584</v>
      </c>
      <c r="S60" s="223">
        <v>31.861999999999998</v>
      </c>
      <c r="T60" s="223">
        <v>34.661000000000001</v>
      </c>
      <c r="U60" s="223">
        <v>32.817999999999998</v>
      </c>
      <c r="V60" s="223">
        <v>31.305</v>
      </c>
      <c r="W60" s="223">
        <v>32.945</v>
      </c>
      <c r="X60" s="223">
        <v>36.473999999999997</v>
      </c>
      <c r="Y60" s="204">
        <v>47.91</v>
      </c>
      <c r="Z60" s="223">
        <v>50.139000000000003</v>
      </c>
      <c r="AA60" s="223">
        <v>48.978000000000002</v>
      </c>
      <c r="AB60" s="223">
        <v>47.67</v>
      </c>
      <c r="AC60" s="204">
        <v>49.454000000000001</v>
      </c>
      <c r="AD60" s="223">
        <v>65.697999999999993</v>
      </c>
      <c r="AE60" s="223">
        <v>70.08</v>
      </c>
      <c r="AF60" s="223">
        <v>68.403999999999996</v>
      </c>
      <c r="AG60" s="223">
        <v>62.826999999999998</v>
      </c>
      <c r="AH60" s="223">
        <v>64.212999999999994</v>
      </c>
      <c r="AI60" s="223">
        <v>65.173000000000002</v>
      </c>
      <c r="AJ60" s="223">
        <v>66.671000000000006</v>
      </c>
      <c r="AK60" s="223">
        <v>64.236000000000004</v>
      </c>
      <c r="AL60" s="223">
        <v>85.158000000000001</v>
      </c>
      <c r="AM60" s="223">
        <v>84.661000000000001</v>
      </c>
      <c r="AN60" s="223">
        <v>108.852</v>
      </c>
      <c r="AO60" s="223">
        <v>105.851</v>
      </c>
      <c r="AP60" s="223">
        <v>100.33199999999999</v>
      </c>
      <c r="AQ60" s="223">
        <v>102.355</v>
      </c>
      <c r="AR60" s="223">
        <v>109.14100000000001</v>
      </c>
      <c r="AS60" s="223">
        <v>94.477999999999994</v>
      </c>
      <c r="AT60" s="223">
        <v>79.188000000000002</v>
      </c>
      <c r="AU60" s="223">
        <v>79.971999999999994</v>
      </c>
      <c r="AV60" s="223">
        <v>79.376000000000005</v>
      </c>
      <c r="BK60" s="223">
        <f t="shared" si="144"/>
        <v>31.305</v>
      </c>
      <c r="BL60" s="223">
        <f t="shared" si="145"/>
        <v>50.139000000000003</v>
      </c>
      <c r="BM60" s="223">
        <f t="shared" si="146"/>
        <v>65.697999999999993</v>
      </c>
      <c r="BN60" s="223">
        <f t="shared" si="147"/>
        <v>64.212999999999994</v>
      </c>
      <c r="BO60" s="223">
        <f t="shared" si="148"/>
        <v>85.158000000000001</v>
      </c>
      <c r="BP60" s="223">
        <f t="shared" si="149"/>
        <v>100.33199999999999</v>
      </c>
      <c r="BQ60" s="223">
        <v>79.188000000000002</v>
      </c>
      <c r="BS60" s="252" t="s">
        <v>2371</v>
      </c>
      <c r="BT60" s="149"/>
      <c r="BU60" s="149"/>
      <c r="BV60" s="253">
        <f>BV58/(BV58+'Main | Overview'!C7)</f>
        <v>1</v>
      </c>
      <c r="BW60" s="246"/>
      <c r="BX60" s="149"/>
      <c r="BY60" s="246"/>
      <c r="BZ60" s="231" t="s">
        <v>502</v>
      </c>
      <c r="CA60" s="225">
        <f>NPV(CA58,BR39:DO39)</f>
        <v>14772.797800566079</v>
      </c>
      <c r="CF60" s="209" t="s">
        <v>1514</v>
      </c>
    </row>
    <row r="61" spans="2:119" ht="13.5" customHeight="1">
      <c r="B61" s="204" t="s">
        <v>307</v>
      </c>
      <c r="S61" s="223">
        <v>1.613</v>
      </c>
      <c r="T61" s="223">
        <v>1.6319999999999999</v>
      </c>
      <c r="U61" s="223">
        <v>9.6300000000000008</v>
      </c>
      <c r="V61" s="223">
        <v>2.9460000000000002</v>
      </c>
      <c r="W61" s="223">
        <v>3.8690000000000002</v>
      </c>
      <c r="X61" s="223">
        <v>6.7370000000000001</v>
      </c>
      <c r="Y61" s="204">
        <v>8.0690000000000008</v>
      </c>
      <c r="Z61" s="223">
        <v>8.7050000000000001</v>
      </c>
      <c r="AA61" s="223">
        <v>9.9139999999999997</v>
      </c>
      <c r="AB61" s="223">
        <v>10.756</v>
      </c>
      <c r="AC61" s="204">
        <v>11.37</v>
      </c>
      <c r="AD61" s="223">
        <v>12.984999999999999</v>
      </c>
      <c r="AE61" s="223">
        <v>13.694000000000001</v>
      </c>
      <c r="AF61" s="223">
        <v>13.97</v>
      </c>
      <c r="AG61" s="223">
        <v>13.483000000000001</v>
      </c>
      <c r="AH61" s="223">
        <v>12.792999999999999</v>
      </c>
      <c r="AI61" s="223">
        <v>11.173</v>
      </c>
      <c r="AJ61" s="223">
        <v>10.5</v>
      </c>
      <c r="AK61" s="204">
        <v>14.743</v>
      </c>
      <c r="AL61" s="223">
        <v>25.88</v>
      </c>
      <c r="AM61" s="223">
        <v>33.814</v>
      </c>
      <c r="AN61" s="223">
        <v>38.518000000000001</v>
      </c>
      <c r="AO61" s="223">
        <v>38.514000000000003</v>
      </c>
      <c r="AP61" s="223">
        <v>40.939</v>
      </c>
      <c r="AQ61" s="223">
        <v>43.728999999999999</v>
      </c>
      <c r="AR61" s="223">
        <v>40.39</v>
      </c>
      <c r="AS61" s="223">
        <v>40.020000000000003</v>
      </c>
      <c r="AT61" s="223">
        <v>40.716000000000001</v>
      </c>
      <c r="AU61" s="223">
        <v>40.984000000000002</v>
      </c>
      <c r="AV61" s="223">
        <v>40.691000000000003</v>
      </c>
      <c r="BK61" s="223">
        <f t="shared" si="144"/>
        <v>2.9460000000000002</v>
      </c>
      <c r="BL61" s="223">
        <f t="shared" si="145"/>
        <v>8.7050000000000001</v>
      </c>
      <c r="BM61" s="223">
        <f t="shared" si="146"/>
        <v>12.984999999999999</v>
      </c>
      <c r="BN61" s="223">
        <f t="shared" si="147"/>
        <v>12.792999999999999</v>
      </c>
      <c r="BO61" s="223">
        <f t="shared" si="148"/>
        <v>25.88</v>
      </c>
      <c r="BP61" s="223">
        <f t="shared" si="149"/>
        <v>40.939</v>
      </c>
      <c r="BQ61" s="223">
        <v>40.716000000000001</v>
      </c>
      <c r="BS61" s="254" t="s">
        <v>2372</v>
      </c>
      <c r="BT61" s="255"/>
      <c r="BU61" s="255"/>
      <c r="BV61" s="256">
        <f>BV59/BV60</f>
        <v>0</v>
      </c>
      <c r="BW61" s="246"/>
      <c r="BX61" s="246"/>
      <c r="BY61" s="246"/>
      <c r="BZ61" s="231" t="s">
        <v>295</v>
      </c>
      <c r="CA61" s="225">
        <f>'Main | Overview'!C4</f>
        <v>39.389000000000003</v>
      </c>
      <c r="CB61" s="233"/>
      <c r="CF61" s="209" t="s">
        <v>555</v>
      </c>
      <c r="CM61" s="210"/>
    </row>
    <row r="62" spans="2:119" s="210" customFormat="1" ht="13.5" customHeight="1">
      <c r="B62" s="210" t="s">
        <v>308</v>
      </c>
      <c r="C62" s="213"/>
      <c r="D62" s="213"/>
      <c r="E62" s="213"/>
      <c r="F62" s="213"/>
      <c r="G62" s="213"/>
      <c r="H62" s="213"/>
      <c r="I62" s="213"/>
      <c r="J62" s="213"/>
      <c r="K62" s="213"/>
      <c r="L62" s="213"/>
      <c r="M62" s="213"/>
      <c r="N62" s="213"/>
      <c r="O62" s="213"/>
      <c r="P62" s="213"/>
      <c r="Q62" s="213"/>
      <c r="R62" s="213"/>
      <c r="S62" s="206">
        <f t="shared" ref="S62:AV62" si="151">SUM(S50:S61)</f>
        <v>568.78899999999999</v>
      </c>
      <c r="T62" s="206">
        <f>SUM(T50:T61)</f>
        <v>585.10899999999981</v>
      </c>
      <c r="U62" s="206">
        <f t="shared" si="151"/>
        <v>614.17000000000007</v>
      </c>
      <c r="V62" s="206">
        <f t="shared" si="151"/>
        <v>665.90099999999995</v>
      </c>
      <c r="W62" s="206">
        <f t="shared" si="151"/>
        <v>664.24000000000012</v>
      </c>
      <c r="X62" s="206">
        <f t="shared" si="151"/>
        <v>780.19999999999982</v>
      </c>
      <c r="Y62" s="206">
        <f t="shared" si="151"/>
        <v>810.30399999999997</v>
      </c>
      <c r="Z62" s="206">
        <f t="shared" si="151"/>
        <v>822.98299999999995</v>
      </c>
      <c r="AA62" s="206">
        <f t="shared" si="151"/>
        <v>840.82399999999996</v>
      </c>
      <c r="AB62" s="206">
        <f t="shared" si="151"/>
        <v>910.21799999999996</v>
      </c>
      <c r="AC62" s="206">
        <f t="shared" si="151"/>
        <v>973.24099999999987</v>
      </c>
      <c r="AD62" s="206">
        <f t="shared" si="151"/>
        <v>1244.2499999999998</v>
      </c>
      <c r="AE62" s="206">
        <f t="shared" si="151"/>
        <v>1301.5729999999999</v>
      </c>
      <c r="AF62" s="206">
        <f t="shared" si="151"/>
        <v>1327.9</v>
      </c>
      <c r="AG62" s="206">
        <f t="shared" si="151"/>
        <v>1321.6009999999999</v>
      </c>
      <c r="AH62" s="206">
        <f t="shared" si="151"/>
        <v>1370.886</v>
      </c>
      <c r="AI62" s="206">
        <f t="shared" si="151"/>
        <v>1395.298</v>
      </c>
      <c r="AJ62" s="206">
        <f t="shared" si="151"/>
        <v>1432.5319999999999</v>
      </c>
      <c r="AK62" s="206">
        <f t="shared" si="151"/>
        <v>1468.377</v>
      </c>
      <c r="AL62" s="206">
        <f t="shared" si="151"/>
        <v>1556.3050000000003</v>
      </c>
      <c r="AM62" s="206">
        <f t="shared" si="151"/>
        <v>1579.845</v>
      </c>
      <c r="AN62" s="206">
        <f t="shared" si="151"/>
        <v>1534.5609999999999</v>
      </c>
      <c r="AO62" s="206">
        <f t="shared" si="151"/>
        <v>1479.1229999999998</v>
      </c>
      <c r="AP62" s="206">
        <f t="shared" si="151"/>
        <v>1533.1759999999997</v>
      </c>
      <c r="AQ62" s="206">
        <f t="shared" si="151"/>
        <v>1593.307</v>
      </c>
      <c r="AR62" s="206">
        <f t="shared" si="151"/>
        <v>1674.809</v>
      </c>
      <c r="AS62" s="206">
        <f t="shared" si="151"/>
        <v>1744.3689999999999</v>
      </c>
      <c r="AT62" s="206">
        <f t="shared" si="151"/>
        <v>1826.5109999999997</v>
      </c>
      <c r="AU62" s="206">
        <f t="shared" si="151"/>
        <v>1898.4379999999996</v>
      </c>
      <c r="AV62" s="206">
        <f t="shared" si="151"/>
        <v>1974.7229999999997</v>
      </c>
      <c r="AW62" s="208"/>
      <c r="AX62" s="208"/>
      <c r="AY62" s="208"/>
      <c r="AZ62" s="208"/>
      <c r="BA62" s="208"/>
      <c r="BB62" s="208"/>
      <c r="BK62" s="206">
        <f t="shared" ref="BK62" si="152">SUM(BK50:BK61)</f>
        <v>665.90099999999995</v>
      </c>
      <c r="BL62" s="206">
        <f t="shared" ref="BL62" si="153">SUM(BL50:BL61)</f>
        <v>822.98299999999995</v>
      </c>
      <c r="BM62" s="206">
        <f t="shared" ref="BM62" si="154">SUM(BM50:BM61)</f>
        <v>1244.2499999999998</v>
      </c>
      <c r="BN62" s="206">
        <f t="shared" ref="BN62" si="155">SUM(BN50:BN61)</f>
        <v>1370.886</v>
      </c>
      <c r="BO62" s="206">
        <f t="shared" ref="BO62" si="156">SUM(BO50:BO61)</f>
        <v>1556.3050000000003</v>
      </c>
      <c r="BP62" s="206">
        <f t="shared" ref="BP62:BQ62" si="157">SUM(BP50:BP61)</f>
        <v>1533.1759999999997</v>
      </c>
      <c r="BQ62" s="206">
        <f t="shared" si="157"/>
        <v>1826.5109999999997</v>
      </c>
      <c r="BR62" s="209"/>
      <c r="BS62" s="149"/>
      <c r="BT62" s="149"/>
      <c r="BU62" s="149"/>
      <c r="BV62" s="149"/>
      <c r="BW62" s="246"/>
      <c r="BX62" s="246"/>
      <c r="BY62" s="246"/>
      <c r="BZ62" s="231" t="s">
        <v>503</v>
      </c>
      <c r="CA62" s="227">
        <f>CA60/CA61</f>
        <v>375.04881567356568</v>
      </c>
      <c r="CB62" s="234"/>
      <c r="CD62" s="209"/>
      <c r="CE62" s="209"/>
      <c r="CF62" s="209"/>
      <c r="CG62" s="209" t="s">
        <v>1748</v>
      </c>
      <c r="CH62" s="209"/>
      <c r="CI62" s="209"/>
      <c r="CJ62" s="209"/>
      <c r="CK62" s="209"/>
      <c r="CL62" s="209"/>
      <c r="CM62" s="209"/>
      <c r="CN62" s="209"/>
      <c r="CO62" s="209"/>
      <c r="CP62" s="209"/>
      <c r="CQ62" s="209"/>
      <c r="CR62" s="209"/>
      <c r="CS62" s="209"/>
      <c r="CT62" s="208"/>
      <c r="CU62" s="208"/>
      <c r="CV62" s="208"/>
      <c r="CW62" s="208"/>
      <c r="CX62" s="208"/>
      <c r="CY62" s="208"/>
      <c r="CZ62" s="208"/>
      <c r="DA62" s="208"/>
      <c r="DB62" s="208"/>
      <c r="DC62" s="208"/>
      <c r="DD62" s="208"/>
      <c r="DE62" s="208"/>
      <c r="DF62" s="208"/>
      <c r="DG62" s="208"/>
      <c r="DH62" s="208"/>
      <c r="DI62" s="208"/>
      <c r="DJ62" s="208"/>
      <c r="DK62" s="208"/>
      <c r="DL62" s="208"/>
      <c r="DM62" s="208"/>
      <c r="DN62" s="208"/>
      <c r="DO62" s="208"/>
    </row>
    <row r="63" spans="2:119" ht="13.5" customHeight="1">
      <c r="AQ63" s="204"/>
      <c r="AR63" s="204"/>
      <c r="AS63" s="210"/>
      <c r="AT63" s="204"/>
      <c r="BL63" s="223"/>
      <c r="BM63" s="223"/>
      <c r="BN63" s="223"/>
      <c r="BO63" s="223"/>
      <c r="BP63" s="223"/>
      <c r="BS63" s="255" t="s">
        <v>2373</v>
      </c>
      <c r="BT63" s="149"/>
      <c r="BU63" s="149"/>
      <c r="BV63" s="246"/>
      <c r="BW63" s="250"/>
      <c r="BX63" s="250"/>
      <c r="BY63" s="250"/>
      <c r="BZ63" s="231" t="s">
        <v>504</v>
      </c>
      <c r="CA63" s="227">
        <f>'Main | Overview'!C3</f>
        <v>319.11</v>
      </c>
      <c r="CB63" s="235"/>
      <c r="CE63" s="209" t="s">
        <v>657</v>
      </c>
      <c r="CN63" s="208"/>
      <c r="CO63" s="208"/>
      <c r="CP63" s="210"/>
      <c r="CQ63" s="210"/>
      <c r="CR63" s="208"/>
      <c r="CS63" s="208"/>
    </row>
    <row r="64" spans="2:119" ht="13.5" customHeight="1">
      <c r="B64" s="204" t="s">
        <v>309</v>
      </c>
      <c r="S64" s="223">
        <v>7.6920000000000002</v>
      </c>
      <c r="T64" s="223">
        <v>8.7430000000000003</v>
      </c>
      <c r="U64" s="223">
        <v>11.962</v>
      </c>
      <c r="V64" s="223">
        <v>15.111000000000001</v>
      </c>
      <c r="W64" s="223">
        <v>15.843</v>
      </c>
      <c r="X64" s="223">
        <v>14.432</v>
      </c>
      <c r="Y64" s="223">
        <v>14.544</v>
      </c>
      <c r="Z64" s="223">
        <v>14.109</v>
      </c>
      <c r="AA64" s="223">
        <v>15.388999999999999</v>
      </c>
      <c r="AB64" s="223">
        <v>13.712</v>
      </c>
      <c r="AC64" s="204">
        <v>13.679</v>
      </c>
      <c r="AD64" s="223">
        <v>13.420999999999999</v>
      </c>
      <c r="AE64" s="223">
        <v>14.137</v>
      </c>
      <c r="AF64" s="223">
        <v>23.096</v>
      </c>
      <c r="AG64" s="223">
        <v>25.364999999999998</v>
      </c>
      <c r="AH64" s="223">
        <v>26.678999999999998</v>
      </c>
      <c r="AI64" s="223">
        <v>28.199000000000002</v>
      </c>
      <c r="AJ64" s="223">
        <v>25.818999999999999</v>
      </c>
      <c r="AK64" s="223">
        <v>27.995999999999999</v>
      </c>
      <c r="AL64" s="223">
        <v>27.155000000000001</v>
      </c>
      <c r="AM64" s="223">
        <v>32.454500000000003</v>
      </c>
      <c r="AN64" s="223">
        <v>32.822000000000003</v>
      </c>
      <c r="AO64" s="223">
        <v>33.151000000000003</v>
      </c>
      <c r="AP64" s="223">
        <v>31.326000000000001</v>
      </c>
      <c r="AQ64" s="223">
        <v>31.152999999999999</v>
      </c>
      <c r="AR64" s="223">
        <v>28.120999999999999</v>
      </c>
      <c r="AS64" s="223">
        <v>29.821000000000002</v>
      </c>
      <c r="AT64" s="223">
        <v>34.735999999999997</v>
      </c>
      <c r="AU64" s="223">
        <v>43.658000000000001</v>
      </c>
      <c r="AV64" s="223">
        <v>44.728000000000002</v>
      </c>
      <c r="BK64" s="223">
        <f t="shared" ref="BK64:BK70" si="158">V64</f>
        <v>15.111000000000001</v>
      </c>
      <c r="BL64" s="223">
        <f t="shared" ref="BL64:BL70" si="159">Z64</f>
        <v>14.109</v>
      </c>
      <c r="BM64" s="223">
        <f t="shared" ref="BM64:BM70" si="160">AD64</f>
        <v>13.420999999999999</v>
      </c>
      <c r="BN64" s="223">
        <f t="shared" ref="BN64:BN70" si="161">AH64</f>
        <v>26.678999999999998</v>
      </c>
      <c r="BO64" s="223">
        <f t="shared" ref="BO64:BO70" si="162">AL64</f>
        <v>27.155000000000001</v>
      </c>
      <c r="BP64" s="223">
        <f t="shared" ref="BP64:BP70" si="163">AP64</f>
        <v>31.326000000000001</v>
      </c>
      <c r="BQ64" s="223">
        <v>34.735999999999997</v>
      </c>
      <c r="BR64" s="225"/>
      <c r="BS64" s="257" t="s">
        <v>583</v>
      </c>
      <c r="BT64" s="149"/>
      <c r="BU64" s="149"/>
      <c r="BV64" s="253">
        <f>'Bull Case (30%)'!BV64</f>
        <v>5.11E-2</v>
      </c>
      <c r="BW64" s="246"/>
      <c r="BX64" s="246"/>
      <c r="BY64" s="246"/>
      <c r="BZ64" s="231" t="s">
        <v>1528</v>
      </c>
      <c r="CA64" s="232">
        <f>CA62/CA63-1</f>
        <v>0.17529634193088794</v>
      </c>
      <c r="CB64" s="234" t="str">
        <f>IF(CA64&gt;0,"Upside","Downside")</f>
        <v>Upside</v>
      </c>
      <c r="CF64" s="209" t="s">
        <v>658</v>
      </c>
    </row>
    <row r="65" spans="2:119" ht="13.5" customHeight="1">
      <c r="B65" s="204" t="s">
        <v>310</v>
      </c>
      <c r="S65" s="223">
        <v>58.031999999999996</v>
      </c>
      <c r="T65" s="223">
        <v>57.276000000000003</v>
      </c>
      <c r="U65" s="223">
        <v>70.162999999999997</v>
      </c>
      <c r="V65" s="223">
        <v>67.63</v>
      </c>
      <c r="W65" s="223">
        <v>65.334999999999994</v>
      </c>
      <c r="X65" s="223">
        <v>57.718000000000004</v>
      </c>
      <c r="Y65" s="223">
        <v>87.691000000000003</v>
      </c>
      <c r="Z65" s="223">
        <v>85.795000000000002</v>
      </c>
      <c r="AA65" s="223">
        <v>90.213999999999999</v>
      </c>
      <c r="AB65" s="223">
        <v>86.503</v>
      </c>
      <c r="AC65" s="204">
        <v>93.22</v>
      </c>
      <c r="AD65" s="223">
        <v>99.796000000000006</v>
      </c>
      <c r="AE65" s="223">
        <v>105.533</v>
      </c>
      <c r="AF65" s="223">
        <v>111.405</v>
      </c>
      <c r="AG65" s="223">
        <v>101.672</v>
      </c>
      <c r="AH65" s="223">
        <v>106.3</v>
      </c>
      <c r="AI65" s="223">
        <v>105.869</v>
      </c>
      <c r="AJ65" s="223">
        <v>105.60599999999999</v>
      </c>
      <c r="AK65" s="223">
        <v>104.184</v>
      </c>
      <c r="AL65" s="223">
        <v>110.55500000000001</v>
      </c>
      <c r="AM65" s="223">
        <v>106.54900000000001</v>
      </c>
      <c r="AN65" s="223">
        <v>104.071</v>
      </c>
      <c r="AO65" s="223">
        <v>105.55</v>
      </c>
      <c r="AP65" s="223">
        <v>112.429</v>
      </c>
      <c r="AQ65" s="223">
        <v>112.675</v>
      </c>
      <c r="AR65" s="223">
        <v>114.389</v>
      </c>
      <c r="AS65" s="223">
        <v>124.273</v>
      </c>
      <c r="AT65" s="223">
        <v>132.16300000000001</v>
      </c>
      <c r="AU65" s="223">
        <v>151.54300000000001</v>
      </c>
      <c r="AV65" s="223">
        <v>172.27</v>
      </c>
      <c r="BK65" s="223">
        <f t="shared" si="158"/>
        <v>67.63</v>
      </c>
      <c r="BL65" s="223">
        <f t="shared" si="159"/>
        <v>85.795000000000002</v>
      </c>
      <c r="BM65" s="223">
        <f t="shared" si="160"/>
        <v>99.796000000000006</v>
      </c>
      <c r="BN65" s="223">
        <f t="shared" si="161"/>
        <v>106.3</v>
      </c>
      <c r="BO65" s="223">
        <f t="shared" si="162"/>
        <v>110.55500000000001</v>
      </c>
      <c r="BP65" s="223">
        <f t="shared" si="163"/>
        <v>112.429</v>
      </c>
      <c r="BQ65" s="223">
        <v>132.16300000000001</v>
      </c>
      <c r="BS65" s="257" t="s">
        <v>548</v>
      </c>
      <c r="BT65" s="149"/>
      <c r="BU65" s="149"/>
      <c r="BV65" s="227">
        <f>'Notes | Analysis'!T240</f>
        <v>0.76850681198020476</v>
      </c>
      <c r="BW65" s="149"/>
      <c r="BX65" s="149"/>
      <c r="BY65" s="149"/>
      <c r="BZ65" s="282" t="str" cm="1">
        <f t="array" ref="BZ65">_xlfn.IFS(CA64&gt;=25%,"Strong Buy",CA64&gt;=10.00001%,"Buy",AND(CA64&lt;=10%,CA64&gt;=-4.9999%),"Hold",AND(CA64&lt;=-5%,CA64&gt;=-14.999999%),"Sell",CA64&lt;=-15%,"Strong Sell")</f>
        <v>Buy</v>
      </c>
      <c r="CA65" s="282"/>
      <c r="CB65" s="225"/>
      <c r="CE65" s="209" t="s">
        <v>1885</v>
      </c>
      <c r="CN65" s="208"/>
      <c r="CO65" s="208"/>
      <c r="CP65" s="210"/>
      <c r="CQ65" s="210"/>
      <c r="CR65" s="208"/>
      <c r="CS65" s="208"/>
    </row>
    <row r="66" spans="2:119" ht="13.5" customHeight="1">
      <c r="B66" s="204" t="s">
        <v>311</v>
      </c>
      <c r="S66" s="223">
        <v>3.6880000000000002</v>
      </c>
      <c r="T66" s="223">
        <v>3.742</v>
      </c>
      <c r="U66" s="223">
        <v>4.0419999999999998</v>
      </c>
      <c r="V66" s="223">
        <v>4.1420000000000003</v>
      </c>
      <c r="W66" s="223">
        <v>4.4349999999999996</v>
      </c>
      <c r="X66" s="223">
        <v>4.4459999999999997</v>
      </c>
      <c r="Y66" s="223">
        <v>4.484</v>
      </c>
      <c r="Z66" s="223">
        <v>4.6970000000000001</v>
      </c>
      <c r="AA66" s="223">
        <v>4.8220000000000001</v>
      </c>
      <c r="AB66" s="223">
        <v>6.3470000000000004</v>
      </c>
      <c r="AC66" s="204">
        <v>7.5309999999999997</v>
      </c>
      <c r="AD66" s="223">
        <v>8.2669999999999995</v>
      </c>
      <c r="AE66" s="223">
        <v>8.66</v>
      </c>
      <c r="AF66" s="223">
        <v>9.2970000000000006</v>
      </c>
      <c r="AG66" s="223">
        <v>9.4169999999999998</v>
      </c>
      <c r="AH66" s="223">
        <v>10.032999999999999</v>
      </c>
      <c r="AI66" s="223">
        <v>10.303000000000001</v>
      </c>
      <c r="AJ66" s="223">
        <v>10.715</v>
      </c>
      <c r="AK66" s="223">
        <v>10.827</v>
      </c>
      <c r="AL66" s="223">
        <v>11.202999999999999</v>
      </c>
      <c r="AM66" s="223">
        <v>11.52</v>
      </c>
      <c r="AN66" s="223">
        <v>11.776</v>
      </c>
      <c r="AO66" s="223">
        <v>12.068</v>
      </c>
      <c r="AP66" s="223">
        <v>12.221</v>
      </c>
      <c r="AQ66" s="223">
        <v>12.51</v>
      </c>
      <c r="AR66" s="223">
        <v>12.855</v>
      </c>
      <c r="AS66" s="223">
        <v>13.086</v>
      </c>
      <c r="AT66" s="223">
        <v>13.840999999999999</v>
      </c>
      <c r="AU66" s="223">
        <v>14.144</v>
      </c>
      <c r="AV66" s="223">
        <v>14.398</v>
      </c>
      <c r="BK66" s="223">
        <f t="shared" si="158"/>
        <v>4.1420000000000003</v>
      </c>
      <c r="BL66" s="223">
        <f t="shared" si="159"/>
        <v>4.6970000000000001</v>
      </c>
      <c r="BM66" s="223">
        <f t="shared" si="160"/>
        <v>8.2669999999999995</v>
      </c>
      <c r="BN66" s="223">
        <f t="shared" si="161"/>
        <v>10.032999999999999</v>
      </c>
      <c r="BO66" s="223">
        <f t="shared" si="162"/>
        <v>11.202999999999999</v>
      </c>
      <c r="BP66" s="223">
        <f t="shared" si="163"/>
        <v>12.221</v>
      </c>
      <c r="BQ66" s="223">
        <v>13.840999999999999</v>
      </c>
      <c r="BS66" s="252" t="s">
        <v>2374</v>
      </c>
      <c r="BT66" s="149"/>
      <c r="BU66" s="149"/>
      <c r="BV66" s="253">
        <f>'Bull Case (30%)'!BV66</f>
        <v>0.18</v>
      </c>
      <c r="BW66" s="149"/>
      <c r="BX66" s="149"/>
      <c r="BY66" s="149"/>
      <c r="BZ66" s="149"/>
      <c r="CA66" s="149"/>
      <c r="CB66" s="149"/>
      <c r="CE66" s="209" t="s">
        <v>1886</v>
      </c>
    </row>
    <row r="67" spans="2:119" ht="13.5" customHeight="1">
      <c r="B67" s="204" t="s">
        <v>312</v>
      </c>
      <c r="S67" s="223">
        <v>0</v>
      </c>
      <c r="T67" s="223">
        <v>0</v>
      </c>
      <c r="U67" s="223">
        <v>0</v>
      </c>
      <c r="V67" s="223">
        <v>4.165</v>
      </c>
      <c r="W67" s="223">
        <v>2.4609999999999999</v>
      </c>
      <c r="X67" s="223">
        <v>1.016</v>
      </c>
      <c r="Y67" s="223">
        <v>1.3360000000000001</v>
      </c>
      <c r="Z67" s="223">
        <v>1.331</v>
      </c>
      <c r="AA67" s="223">
        <v>1.4370000000000001</v>
      </c>
      <c r="AB67" s="223">
        <v>1.484</v>
      </c>
      <c r="AC67" s="204">
        <v>1.627</v>
      </c>
      <c r="AD67" s="223">
        <v>1.7130000000000001</v>
      </c>
      <c r="AE67" s="223">
        <v>1.7689999999999999</v>
      </c>
      <c r="AF67" s="223">
        <v>1.806</v>
      </c>
      <c r="AG67" s="223">
        <v>1.8779999999999999</v>
      </c>
      <c r="AH67" s="223">
        <v>1.92</v>
      </c>
      <c r="AI67" s="223">
        <v>1.9570000000000001</v>
      </c>
      <c r="AJ67" s="223">
        <v>1.984</v>
      </c>
      <c r="AK67" s="223">
        <v>2.0710000000000002</v>
      </c>
      <c r="AL67" s="223">
        <v>2.2309999999999999</v>
      </c>
      <c r="AM67" s="223">
        <v>2.2799999999999998</v>
      </c>
      <c r="AN67" s="223">
        <v>2.3250000000000002</v>
      </c>
      <c r="AO67" s="223">
        <v>2.4159999999999999</v>
      </c>
      <c r="AP67" s="223">
        <v>2.3690000000000002</v>
      </c>
      <c r="AQ67" s="223">
        <v>2.2919999999999998</v>
      </c>
      <c r="AR67" s="223">
        <v>2.3959999999999999</v>
      </c>
      <c r="AS67" s="223">
        <v>2.423</v>
      </c>
      <c r="AT67" s="223">
        <v>2.3929999999999998</v>
      </c>
      <c r="AU67" s="223">
        <v>2.3860000000000001</v>
      </c>
      <c r="AV67" s="223">
        <v>2.38</v>
      </c>
      <c r="BK67" s="223">
        <f t="shared" si="158"/>
        <v>4.165</v>
      </c>
      <c r="BL67" s="223">
        <f t="shared" si="159"/>
        <v>1.331</v>
      </c>
      <c r="BM67" s="223">
        <f t="shared" si="160"/>
        <v>1.7130000000000001</v>
      </c>
      <c r="BN67" s="223">
        <f t="shared" si="161"/>
        <v>1.92</v>
      </c>
      <c r="BO67" s="223">
        <f t="shared" si="162"/>
        <v>2.2309999999999999</v>
      </c>
      <c r="BP67" s="223">
        <f t="shared" si="163"/>
        <v>2.3690000000000002</v>
      </c>
      <c r="BQ67" s="223">
        <v>2.3929999999999998</v>
      </c>
      <c r="BS67" s="254" t="s">
        <v>2375</v>
      </c>
      <c r="BT67" s="246"/>
      <c r="BU67" s="1"/>
      <c r="BV67" s="256">
        <f>(BV64+BV65)*(BV66-BV64)</f>
        <v>0.10564731806424839</v>
      </c>
      <c r="BW67" s="149"/>
      <c r="BX67" s="149"/>
      <c r="BY67" s="149"/>
      <c r="BZ67" s="149"/>
      <c r="CA67" s="149"/>
      <c r="CB67" s="149"/>
      <c r="CF67" s="209" t="s">
        <v>552</v>
      </c>
    </row>
    <row r="68" spans="2:119" ht="13.5" customHeight="1">
      <c r="B68" s="204" t="s">
        <v>313</v>
      </c>
      <c r="S68" s="223">
        <v>46.07</v>
      </c>
      <c r="T68" s="223">
        <v>46.146000000000001</v>
      </c>
      <c r="U68" s="223">
        <v>45.4</v>
      </c>
      <c r="V68" s="223">
        <v>47.241999999999997</v>
      </c>
      <c r="W68" s="223">
        <v>46.415999999999997</v>
      </c>
      <c r="X68" s="223">
        <v>45.924999999999997</v>
      </c>
      <c r="Y68" s="223">
        <v>44.997999999999998</v>
      </c>
      <c r="Z68" s="223">
        <v>44.183</v>
      </c>
      <c r="AA68" s="223">
        <v>43.524999999999999</v>
      </c>
      <c r="AB68" s="223">
        <v>94.444000000000003</v>
      </c>
      <c r="AC68" s="204">
        <v>138.16900000000001</v>
      </c>
      <c r="AD68" s="223">
        <v>137.04499999999999</v>
      </c>
      <c r="AE68" s="223">
        <v>182.43799999999999</v>
      </c>
      <c r="AF68" s="223">
        <v>183.155</v>
      </c>
      <c r="AG68" s="223">
        <v>180.89699999999999</v>
      </c>
      <c r="AH68" s="223">
        <v>198.95500000000001</v>
      </c>
      <c r="AI68" s="223">
        <v>196.83699999999999</v>
      </c>
      <c r="AJ68" s="223">
        <v>194.655</v>
      </c>
      <c r="AK68" s="223">
        <v>192.11699999999999</v>
      </c>
      <c r="AL68" s="223">
        <v>197.22900000000001</v>
      </c>
      <c r="AM68" s="223">
        <v>194.53700000000001</v>
      </c>
      <c r="AN68" s="223">
        <v>192.21600000000001</v>
      </c>
      <c r="AO68" s="223">
        <v>189.96</v>
      </c>
      <c r="AP68" s="223">
        <v>187.06800000000001</v>
      </c>
      <c r="AQ68" s="223">
        <v>184.65199999999999</v>
      </c>
      <c r="AR68" s="223">
        <v>183.49299999999999</v>
      </c>
      <c r="AS68" s="223">
        <v>180.3</v>
      </c>
      <c r="AT68" s="223">
        <v>182.751</v>
      </c>
      <c r="AU68" s="223">
        <v>179.42400000000001</v>
      </c>
      <c r="AV68" s="223">
        <v>176.304</v>
      </c>
      <c r="BK68" s="223">
        <f t="shared" si="158"/>
        <v>47.241999999999997</v>
      </c>
      <c r="BL68" s="223">
        <f t="shared" si="159"/>
        <v>44.183</v>
      </c>
      <c r="BM68" s="223">
        <f t="shared" si="160"/>
        <v>137.04499999999999</v>
      </c>
      <c r="BN68" s="223">
        <f t="shared" si="161"/>
        <v>198.95500000000001</v>
      </c>
      <c r="BO68" s="223">
        <f t="shared" si="162"/>
        <v>197.22900000000001</v>
      </c>
      <c r="BP68" s="223">
        <f t="shared" si="163"/>
        <v>187.06800000000001</v>
      </c>
      <c r="BQ68" s="223">
        <v>182.751</v>
      </c>
      <c r="BS68" s="258"/>
      <c r="BT68" s="149"/>
      <c r="BU68" s="149"/>
      <c r="BV68" s="149"/>
      <c r="BW68" s="149"/>
      <c r="BX68" s="149"/>
      <c r="BY68" s="149"/>
      <c r="BZ68" s="149"/>
      <c r="CA68" s="149"/>
      <c r="CB68" s="149"/>
      <c r="CF68" s="209" t="s">
        <v>553</v>
      </c>
    </row>
    <row r="69" spans="2:119" ht="13.5" customHeight="1">
      <c r="B69" s="204" t="s">
        <v>314</v>
      </c>
      <c r="S69" s="223">
        <v>0</v>
      </c>
      <c r="T69" s="223">
        <v>0</v>
      </c>
      <c r="U69" s="204">
        <v>0</v>
      </c>
      <c r="V69" s="204">
        <v>26.748000000000001</v>
      </c>
      <c r="W69" s="223">
        <v>26.483000000000001</v>
      </c>
      <c r="X69" s="223">
        <v>26.202000000000002</v>
      </c>
      <c r="Y69" s="223">
        <v>27.390999999999998</v>
      </c>
      <c r="Z69" s="223">
        <v>27.065999999999999</v>
      </c>
      <c r="AA69" s="223">
        <v>27</v>
      </c>
      <c r="AB69" s="223">
        <v>26.690999999999999</v>
      </c>
      <c r="AC69" s="204">
        <v>26.774999999999999</v>
      </c>
      <c r="AD69" s="223">
        <v>26.523</v>
      </c>
      <c r="AE69" s="223">
        <v>26.122</v>
      </c>
      <c r="AF69" s="223">
        <v>25.654</v>
      </c>
      <c r="AG69" s="223">
        <v>25.324999999999999</v>
      </c>
      <c r="AH69" s="223">
        <v>24.864999999999998</v>
      </c>
      <c r="AI69" s="223">
        <v>24.422999999999998</v>
      </c>
      <c r="AJ69" s="223">
        <v>23.922000000000001</v>
      </c>
      <c r="AK69" s="223">
        <v>23.779</v>
      </c>
      <c r="AL69" s="223">
        <v>23.68</v>
      </c>
      <c r="AM69" s="223">
        <v>23.097999999999999</v>
      </c>
      <c r="AN69" s="223">
        <v>22.501000000000001</v>
      </c>
      <c r="AO69" s="223">
        <v>22.245000000000001</v>
      </c>
      <c r="AP69" s="223">
        <v>21.731000000000002</v>
      </c>
      <c r="AQ69" s="223">
        <v>21.201000000000001</v>
      </c>
      <c r="AR69" s="223">
        <v>21.785</v>
      </c>
      <c r="AS69" s="223">
        <v>21.222999999999999</v>
      </c>
      <c r="AT69" s="223">
        <v>20.713999999999999</v>
      </c>
      <c r="AU69" s="223">
        <v>20.221</v>
      </c>
      <c r="AV69" s="223">
        <v>19.628</v>
      </c>
      <c r="BK69" s="223">
        <f t="shared" si="158"/>
        <v>26.748000000000001</v>
      </c>
      <c r="BL69" s="223">
        <f t="shared" si="159"/>
        <v>27.065999999999999</v>
      </c>
      <c r="BM69" s="223">
        <f t="shared" si="160"/>
        <v>26.523</v>
      </c>
      <c r="BN69" s="223">
        <f t="shared" si="161"/>
        <v>24.864999999999998</v>
      </c>
      <c r="BO69" s="223">
        <f t="shared" si="162"/>
        <v>23.68</v>
      </c>
      <c r="BP69" s="223">
        <f t="shared" si="163"/>
        <v>21.731000000000002</v>
      </c>
      <c r="BQ69" s="223">
        <v>20.713999999999999</v>
      </c>
      <c r="BS69" s="255" t="s">
        <v>2376</v>
      </c>
      <c r="BT69" s="259"/>
      <c r="BU69" s="149"/>
      <c r="BV69" s="260"/>
      <c r="BW69" s="149"/>
      <c r="BX69" s="149"/>
      <c r="BY69" s="149"/>
      <c r="BZ69" s="149"/>
      <c r="CA69" s="149"/>
      <c r="CB69" s="149"/>
      <c r="CE69" s="209" t="s">
        <v>1567</v>
      </c>
    </row>
    <row r="70" spans="2:119" ht="13.5" customHeight="1">
      <c r="B70" s="204" t="s">
        <v>315</v>
      </c>
      <c r="S70" s="223">
        <v>16.643999999999998</v>
      </c>
      <c r="T70" s="223">
        <v>15.019</v>
      </c>
      <c r="U70" s="223">
        <v>15.662000000000001</v>
      </c>
      <c r="V70" s="223">
        <v>15.25</v>
      </c>
      <c r="W70" s="223">
        <v>15.15</v>
      </c>
      <c r="X70" s="223">
        <v>7.3</v>
      </c>
      <c r="Y70" s="223">
        <v>10.147</v>
      </c>
      <c r="Z70" s="223">
        <v>8.0139999999999993</v>
      </c>
      <c r="AA70" s="223">
        <v>7.9660000000000002</v>
      </c>
      <c r="AB70" s="223">
        <v>7.6609999999999996</v>
      </c>
      <c r="AC70" s="204">
        <v>7.6349999999999998</v>
      </c>
      <c r="AD70" s="223">
        <v>3.5579999999999998</v>
      </c>
      <c r="AE70" s="223">
        <v>3.6120000000000001</v>
      </c>
      <c r="AF70" s="223">
        <v>3.472</v>
      </c>
      <c r="AG70" s="223">
        <v>3.2949999999999999</v>
      </c>
      <c r="AH70" s="223">
        <v>3.2759999999999998</v>
      </c>
      <c r="AI70" s="223">
        <v>3.2410000000000001</v>
      </c>
      <c r="AJ70" s="223">
        <v>3.2879999999999998</v>
      </c>
      <c r="AK70" s="223">
        <v>3.2650000000000001</v>
      </c>
      <c r="AL70" s="223">
        <v>5.3079999999999998</v>
      </c>
      <c r="AM70" s="223">
        <v>5.8760000000000003</v>
      </c>
      <c r="AN70" s="223">
        <v>7.6189999999999998</v>
      </c>
      <c r="AO70" s="223">
        <v>9.4529999999999994</v>
      </c>
      <c r="AP70" s="223">
        <v>15.103</v>
      </c>
      <c r="AQ70" s="223">
        <v>15.942</v>
      </c>
      <c r="AR70" s="223">
        <v>17.818999999999999</v>
      </c>
      <c r="AS70" s="223">
        <v>14.53</v>
      </c>
      <c r="AT70" s="223">
        <v>12.318</v>
      </c>
      <c r="AU70" s="223">
        <v>13.25</v>
      </c>
      <c r="AV70" s="223">
        <v>14.249000000000001</v>
      </c>
      <c r="BK70" s="223">
        <f t="shared" si="158"/>
        <v>15.25</v>
      </c>
      <c r="BL70" s="223">
        <f t="shared" si="159"/>
        <v>8.0139999999999993</v>
      </c>
      <c r="BM70" s="223">
        <f t="shared" si="160"/>
        <v>3.5579999999999998</v>
      </c>
      <c r="BN70" s="223">
        <f t="shared" si="161"/>
        <v>3.2759999999999998</v>
      </c>
      <c r="BO70" s="223">
        <f t="shared" si="162"/>
        <v>5.3079999999999998</v>
      </c>
      <c r="BP70" s="223">
        <f t="shared" si="163"/>
        <v>15.103</v>
      </c>
      <c r="BQ70" s="223">
        <v>12.318</v>
      </c>
      <c r="BS70" s="261" t="s">
        <v>2376</v>
      </c>
      <c r="BT70" s="149"/>
      <c r="BU70" s="149"/>
      <c r="BV70" s="262">
        <v>0</v>
      </c>
      <c r="BW70" s="149"/>
      <c r="BX70" s="263"/>
      <c r="BY70" s="149"/>
      <c r="BZ70" s="247"/>
      <c r="CA70" s="149"/>
      <c r="CB70" s="149"/>
      <c r="CD70" s="208" t="s">
        <v>569</v>
      </c>
    </row>
    <row r="71" spans="2:119" s="210" customFormat="1" ht="13.5" customHeight="1">
      <c r="B71" s="210" t="s">
        <v>2075</v>
      </c>
      <c r="C71" s="213"/>
      <c r="D71" s="213"/>
      <c r="E71" s="213"/>
      <c r="F71" s="213"/>
      <c r="G71" s="213"/>
      <c r="H71" s="213"/>
      <c r="I71" s="213"/>
      <c r="J71" s="213"/>
      <c r="K71" s="213"/>
      <c r="L71" s="213"/>
      <c r="M71" s="213"/>
      <c r="N71" s="213"/>
      <c r="O71" s="213"/>
      <c r="P71" s="213"/>
      <c r="Q71" s="213"/>
      <c r="R71" s="213"/>
      <c r="S71" s="206">
        <f>SUM(S64:S70)</f>
        <v>132.126</v>
      </c>
      <c r="T71" s="206">
        <f t="shared" ref="T71:AV71" si="164">SUM(T64:T70)</f>
        <v>130.92600000000002</v>
      </c>
      <c r="U71" s="206">
        <f t="shared" si="164"/>
        <v>147.22900000000001</v>
      </c>
      <c r="V71" s="206">
        <f t="shared" si="164"/>
        <v>180.28799999999998</v>
      </c>
      <c r="W71" s="206">
        <f t="shared" si="164"/>
        <v>176.12300000000002</v>
      </c>
      <c r="X71" s="206">
        <f t="shared" si="164"/>
        <v>157.03900000000002</v>
      </c>
      <c r="Y71" s="206">
        <f t="shared" si="164"/>
        <v>190.59099999999998</v>
      </c>
      <c r="Z71" s="206">
        <f t="shared" si="164"/>
        <v>185.19500000000002</v>
      </c>
      <c r="AA71" s="206">
        <f t="shared" si="164"/>
        <v>190.35300000000001</v>
      </c>
      <c r="AB71" s="206">
        <f t="shared" si="164"/>
        <v>236.84200000000001</v>
      </c>
      <c r="AC71" s="206">
        <f t="shared" si="164"/>
        <v>288.63599999999997</v>
      </c>
      <c r="AD71" s="206">
        <f t="shared" si="164"/>
        <v>290.32299999999998</v>
      </c>
      <c r="AE71" s="206">
        <f t="shared" si="164"/>
        <v>342.27100000000007</v>
      </c>
      <c r="AF71" s="206">
        <f t="shared" si="164"/>
        <v>357.88499999999999</v>
      </c>
      <c r="AG71" s="206">
        <f t="shared" si="164"/>
        <v>347.84899999999993</v>
      </c>
      <c r="AH71" s="206">
        <f t="shared" si="164"/>
        <v>372.02799999999996</v>
      </c>
      <c r="AI71" s="206">
        <f t="shared" si="164"/>
        <v>370.82899999999995</v>
      </c>
      <c r="AJ71" s="206">
        <f t="shared" si="164"/>
        <v>365.98900000000003</v>
      </c>
      <c r="AK71" s="206">
        <f t="shared" si="164"/>
        <v>364.23899999999998</v>
      </c>
      <c r="AL71" s="206">
        <f t="shared" si="164"/>
        <v>377.36100000000005</v>
      </c>
      <c r="AM71" s="206">
        <f t="shared" si="164"/>
        <v>376.31450000000001</v>
      </c>
      <c r="AN71" s="206">
        <f t="shared" si="164"/>
        <v>373.33000000000004</v>
      </c>
      <c r="AO71" s="206">
        <f t="shared" si="164"/>
        <v>374.84299999999996</v>
      </c>
      <c r="AP71" s="206">
        <f t="shared" si="164"/>
        <v>382.24700000000001</v>
      </c>
      <c r="AQ71" s="206">
        <f t="shared" si="164"/>
        <v>380.42500000000001</v>
      </c>
      <c r="AR71" s="206">
        <f t="shared" si="164"/>
        <v>380.858</v>
      </c>
      <c r="AS71" s="206">
        <f t="shared" si="164"/>
        <v>385.65600000000001</v>
      </c>
      <c r="AT71" s="206">
        <f t="shared" si="164"/>
        <v>398.916</v>
      </c>
      <c r="AU71" s="206">
        <f t="shared" si="164"/>
        <v>424.62600000000003</v>
      </c>
      <c r="AV71" s="206">
        <f t="shared" si="164"/>
        <v>443.95700000000005</v>
      </c>
      <c r="AW71" s="208"/>
      <c r="AX71" s="208"/>
      <c r="AY71" s="208"/>
      <c r="AZ71" s="208"/>
      <c r="BA71" s="208"/>
      <c r="BB71" s="208"/>
      <c r="BK71" s="206">
        <f t="shared" ref="BK71:BO71" si="165">SUM(BK64:BK70)</f>
        <v>180.28799999999998</v>
      </c>
      <c r="BL71" s="206">
        <f t="shared" si="165"/>
        <v>185.19500000000002</v>
      </c>
      <c r="BM71" s="206">
        <f t="shared" si="165"/>
        <v>290.32299999999998</v>
      </c>
      <c r="BN71" s="206">
        <f t="shared" si="165"/>
        <v>372.02799999999996</v>
      </c>
      <c r="BO71" s="206">
        <f t="shared" si="165"/>
        <v>377.36100000000005</v>
      </c>
      <c r="BP71" s="206">
        <f>SUM(BP64:BP70)</f>
        <v>382.24700000000001</v>
      </c>
      <c r="BQ71" s="206">
        <f t="shared" ref="BQ71" si="166">SUM(BQ64:BQ70)</f>
        <v>398.916</v>
      </c>
      <c r="BR71" s="208"/>
      <c r="BS71" s="252" t="s">
        <v>2377</v>
      </c>
      <c r="BT71" s="149"/>
      <c r="BU71" s="149"/>
      <c r="BV71" s="253">
        <v>0.2</v>
      </c>
      <c r="BW71" s="149"/>
      <c r="BX71" s="263"/>
      <c r="BY71" s="253"/>
      <c r="BZ71" s="247"/>
      <c r="CA71" s="1"/>
      <c r="CB71" s="1"/>
      <c r="CC71" s="208"/>
      <c r="CD71" s="209"/>
      <c r="CE71" s="209" t="s">
        <v>1887</v>
      </c>
      <c r="CF71" s="209"/>
      <c r="CG71" s="209"/>
      <c r="CH71" s="209"/>
      <c r="CI71" s="209"/>
      <c r="CJ71" s="209"/>
      <c r="CK71" s="209"/>
      <c r="CL71" s="209"/>
      <c r="CM71" s="209"/>
      <c r="CN71" s="209"/>
      <c r="CO71" s="209"/>
      <c r="CP71" s="209"/>
      <c r="CQ71" s="209"/>
      <c r="CR71" s="209"/>
      <c r="CS71" s="209"/>
      <c r="CT71" s="208"/>
      <c r="CU71" s="208"/>
      <c r="CV71" s="208"/>
      <c r="CW71" s="208"/>
      <c r="CX71" s="208"/>
      <c r="CY71" s="208"/>
      <c r="CZ71" s="208"/>
      <c r="DA71" s="208"/>
      <c r="DB71" s="208"/>
      <c r="DC71" s="208"/>
      <c r="DD71" s="208"/>
      <c r="DE71" s="208"/>
      <c r="DF71" s="208"/>
      <c r="DG71" s="208"/>
      <c r="DH71" s="208"/>
      <c r="DI71" s="208"/>
      <c r="DJ71" s="208"/>
      <c r="DK71" s="208"/>
      <c r="DL71" s="208"/>
      <c r="DM71" s="208"/>
      <c r="DN71" s="208"/>
      <c r="DO71" s="208"/>
    </row>
    <row r="72" spans="2:119" ht="13.5" customHeight="1">
      <c r="B72" s="204" t="s">
        <v>316</v>
      </c>
      <c r="S72" s="223">
        <v>436.66300000000001</v>
      </c>
      <c r="T72" s="223">
        <v>454.18299999999999</v>
      </c>
      <c r="U72" s="223">
        <v>466.94099999999997</v>
      </c>
      <c r="V72" s="223">
        <v>485.613</v>
      </c>
      <c r="W72" s="223">
        <v>488.11700000000002</v>
      </c>
      <c r="X72" s="223">
        <v>623.16099999999994</v>
      </c>
      <c r="Y72" s="223">
        <v>619.71199999999999</v>
      </c>
      <c r="Z72" s="223">
        <v>637.78800000000001</v>
      </c>
      <c r="AA72" s="223">
        <v>650.471</v>
      </c>
      <c r="AB72" s="223">
        <v>673.37599999999998</v>
      </c>
      <c r="AC72" s="204">
        <v>684.60299999999995</v>
      </c>
      <c r="AD72" s="223">
        <v>953.92700000000002</v>
      </c>
      <c r="AE72" s="223">
        <v>959.30200000000002</v>
      </c>
      <c r="AF72" s="223">
        <v>970.01499999999999</v>
      </c>
      <c r="AG72" s="223">
        <v>973.75199999999995</v>
      </c>
      <c r="AH72" s="223">
        <v>998.85799999999995</v>
      </c>
      <c r="AI72" s="223">
        <v>1024.4690000000001</v>
      </c>
      <c r="AJ72" s="223">
        <v>1066.5429999999999</v>
      </c>
      <c r="AK72" s="223">
        <v>1104.1379999999999</v>
      </c>
      <c r="AL72" s="223">
        <v>1178.94</v>
      </c>
      <c r="AM72" s="223">
        <v>1203.5309999999999</v>
      </c>
      <c r="AN72" s="223">
        <v>1161.231</v>
      </c>
      <c r="AO72" s="223">
        <v>1104.28</v>
      </c>
      <c r="AP72" s="223">
        <v>1150.931</v>
      </c>
      <c r="AQ72" s="223">
        <v>1212.8820000000001</v>
      </c>
      <c r="AR72" s="223">
        <v>1293.95</v>
      </c>
      <c r="AS72" s="204">
        <v>1358.6959999999999</v>
      </c>
      <c r="AT72" s="223">
        <v>1427.6030000000001</v>
      </c>
      <c r="AU72" s="223">
        <v>1473.8119999999999</v>
      </c>
      <c r="AV72" s="223">
        <v>1530.7660000000001</v>
      </c>
      <c r="BK72" s="223">
        <f>V72</f>
        <v>485.613</v>
      </c>
      <c r="BL72" s="223">
        <f>Z72</f>
        <v>637.78800000000001</v>
      </c>
      <c r="BM72" s="223">
        <f>AD72</f>
        <v>953.92700000000002</v>
      </c>
      <c r="BN72" s="223">
        <f>AH72</f>
        <v>998.85799999999995</v>
      </c>
      <c r="BO72" s="223">
        <f>AL72</f>
        <v>1178.94</v>
      </c>
      <c r="BP72" s="223">
        <f>AP72</f>
        <v>1150.931</v>
      </c>
      <c r="BQ72" s="223">
        <v>1427.6030000000001</v>
      </c>
      <c r="BS72" s="264" t="s">
        <v>2378</v>
      </c>
      <c r="BT72" s="149"/>
      <c r="BU72" s="149"/>
      <c r="BV72" s="256">
        <f>BV70*(1-BV71)</f>
        <v>0</v>
      </c>
      <c r="BW72" s="149"/>
      <c r="BX72" s="149"/>
      <c r="BY72" s="149"/>
      <c r="BZ72" s="247"/>
      <c r="CA72" s="149"/>
      <c r="CB72" s="149"/>
      <c r="CE72" s="209" t="s">
        <v>1510</v>
      </c>
    </row>
    <row r="73" spans="2:119" s="210" customFormat="1" ht="13.5" customHeight="1">
      <c r="B73" s="210" t="s">
        <v>317</v>
      </c>
      <c r="C73" s="213"/>
      <c r="D73" s="213"/>
      <c r="E73" s="213"/>
      <c r="F73" s="213"/>
      <c r="G73" s="213"/>
      <c r="H73" s="213"/>
      <c r="I73" s="213"/>
      <c r="J73" s="213"/>
      <c r="K73" s="213"/>
      <c r="L73" s="213"/>
      <c r="M73" s="213"/>
      <c r="N73" s="213"/>
      <c r="O73" s="213"/>
      <c r="P73" s="213"/>
      <c r="Q73" s="213"/>
      <c r="R73" s="213"/>
      <c r="S73" s="206">
        <f>SUM(S71:S72)</f>
        <v>568.78899999999999</v>
      </c>
      <c r="T73" s="206">
        <f t="shared" ref="T73:AV73" si="167">SUM(T71:T72)</f>
        <v>585.10900000000004</v>
      </c>
      <c r="U73" s="206">
        <f t="shared" si="167"/>
        <v>614.16999999999996</v>
      </c>
      <c r="V73" s="206">
        <f t="shared" si="167"/>
        <v>665.90099999999995</v>
      </c>
      <c r="W73" s="206">
        <f t="shared" si="167"/>
        <v>664.24</v>
      </c>
      <c r="X73" s="206">
        <f t="shared" si="167"/>
        <v>780.19999999999993</v>
      </c>
      <c r="Y73" s="206">
        <f t="shared" si="167"/>
        <v>810.303</v>
      </c>
      <c r="Z73" s="206">
        <f t="shared" si="167"/>
        <v>822.98300000000006</v>
      </c>
      <c r="AA73" s="206">
        <f t="shared" si="167"/>
        <v>840.82400000000007</v>
      </c>
      <c r="AB73" s="206">
        <f t="shared" si="167"/>
        <v>910.21799999999996</v>
      </c>
      <c r="AC73" s="206">
        <f t="shared" si="167"/>
        <v>973.23899999999992</v>
      </c>
      <c r="AD73" s="206">
        <f t="shared" si="167"/>
        <v>1244.25</v>
      </c>
      <c r="AE73" s="206">
        <f t="shared" si="167"/>
        <v>1301.5730000000001</v>
      </c>
      <c r="AF73" s="206">
        <f t="shared" si="167"/>
        <v>1327.9</v>
      </c>
      <c r="AG73" s="206">
        <f t="shared" si="167"/>
        <v>1321.6009999999999</v>
      </c>
      <c r="AH73" s="206">
        <f t="shared" si="167"/>
        <v>1370.886</v>
      </c>
      <c r="AI73" s="206">
        <f t="shared" si="167"/>
        <v>1395.298</v>
      </c>
      <c r="AJ73" s="206">
        <f t="shared" si="167"/>
        <v>1432.5319999999999</v>
      </c>
      <c r="AK73" s="206">
        <f t="shared" si="167"/>
        <v>1468.377</v>
      </c>
      <c r="AL73" s="206">
        <f t="shared" si="167"/>
        <v>1556.3010000000002</v>
      </c>
      <c r="AM73" s="206">
        <f t="shared" si="167"/>
        <v>1579.8454999999999</v>
      </c>
      <c r="AN73" s="206">
        <f t="shared" si="167"/>
        <v>1534.5610000000001</v>
      </c>
      <c r="AO73" s="206">
        <f t="shared" si="167"/>
        <v>1479.123</v>
      </c>
      <c r="AP73" s="206">
        <f t="shared" si="167"/>
        <v>1533.1780000000001</v>
      </c>
      <c r="AQ73" s="206">
        <f t="shared" si="167"/>
        <v>1593.307</v>
      </c>
      <c r="AR73" s="206">
        <f t="shared" si="167"/>
        <v>1674.808</v>
      </c>
      <c r="AS73" s="206">
        <f t="shared" si="167"/>
        <v>1744.3519999999999</v>
      </c>
      <c r="AT73" s="206">
        <f t="shared" si="167"/>
        <v>1826.519</v>
      </c>
      <c r="AU73" s="206">
        <f t="shared" si="167"/>
        <v>1898.4379999999999</v>
      </c>
      <c r="AV73" s="206">
        <f t="shared" si="167"/>
        <v>1974.7230000000002</v>
      </c>
      <c r="AW73" s="208"/>
      <c r="AX73" s="208"/>
      <c r="AY73" s="208"/>
      <c r="AZ73" s="208"/>
      <c r="BA73" s="208"/>
      <c r="BB73" s="208"/>
      <c r="BK73" s="206">
        <f t="shared" ref="BK73:BO73" si="168">SUM(BK71:BK72)</f>
        <v>665.90099999999995</v>
      </c>
      <c r="BL73" s="206">
        <f t="shared" si="168"/>
        <v>822.98300000000006</v>
      </c>
      <c r="BM73" s="206">
        <f t="shared" si="168"/>
        <v>1244.25</v>
      </c>
      <c r="BN73" s="206">
        <f t="shared" si="168"/>
        <v>1370.886</v>
      </c>
      <c r="BO73" s="206">
        <f t="shared" si="168"/>
        <v>1556.3010000000002</v>
      </c>
      <c r="BP73" s="206">
        <f>SUM(BP71:BP72)</f>
        <v>1533.1780000000001</v>
      </c>
      <c r="BQ73" s="206">
        <f t="shared" ref="BQ73" si="169">SUM(BQ71:BQ72)</f>
        <v>1826.519</v>
      </c>
      <c r="BR73" s="209"/>
      <c r="BS73" s="209"/>
      <c r="BT73" s="209"/>
      <c r="BU73" s="209"/>
      <c r="BV73" s="209"/>
      <c r="BW73" s="209"/>
      <c r="BX73" s="209"/>
      <c r="BY73" s="209"/>
      <c r="BZ73" s="209"/>
      <c r="CA73" s="209"/>
      <c r="CC73" s="209"/>
      <c r="CD73" s="225"/>
      <c r="CE73" s="209"/>
      <c r="CF73" s="209"/>
      <c r="CG73" s="209" t="s">
        <v>554</v>
      </c>
      <c r="CH73" s="209"/>
      <c r="CI73" s="209"/>
      <c r="CJ73" s="209"/>
      <c r="CK73" s="209"/>
      <c r="CL73" s="209"/>
      <c r="CN73" s="209"/>
      <c r="CO73" s="209"/>
      <c r="CP73" s="209"/>
      <c r="CQ73" s="209"/>
      <c r="CR73" s="209"/>
      <c r="CS73" s="209"/>
      <c r="CT73" s="208"/>
      <c r="CU73" s="208"/>
      <c r="CV73" s="208"/>
      <c r="CW73" s="208"/>
      <c r="CX73" s="208"/>
      <c r="CY73" s="208"/>
      <c r="CZ73" s="208"/>
      <c r="DA73" s="208"/>
      <c r="DB73" s="208"/>
      <c r="DC73" s="208"/>
      <c r="DD73" s="208"/>
      <c r="DE73" s="208"/>
      <c r="DF73" s="208"/>
      <c r="DG73" s="208"/>
      <c r="DH73" s="208"/>
      <c r="DI73" s="208"/>
      <c r="DJ73" s="208"/>
      <c r="DK73" s="208"/>
      <c r="DL73" s="208"/>
      <c r="DM73" s="208"/>
      <c r="DN73" s="208"/>
      <c r="DO73" s="208"/>
    </row>
    <row r="74" spans="2:119" ht="13.5" customHeight="1">
      <c r="AQ74" s="204"/>
      <c r="AR74" s="204"/>
      <c r="AS74" s="210"/>
      <c r="AT74" s="204"/>
      <c r="BL74" s="223"/>
      <c r="BM74" s="223"/>
      <c r="BN74" s="223"/>
      <c r="BO74" s="223"/>
      <c r="BP74" s="223"/>
      <c r="BQ74" s="223"/>
      <c r="BS74" s="255" t="s">
        <v>2379</v>
      </c>
      <c r="BT74" s="149"/>
      <c r="BU74" s="149"/>
      <c r="BV74" s="256">
        <f>(BV60*BV67)+(BV59*BV72*(1-BV71))</f>
        <v>0.10564731806424839</v>
      </c>
      <c r="CG74" s="209" t="s">
        <v>556</v>
      </c>
    </row>
    <row r="75" spans="2:119" ht="13.5" customHeight="1">
      <c r="B75" s="204" t="s">
        <v>497</v>
      </c>
      <c r="S75" s="226">
        <f t="shared" ref="S75:AO75" si="170">SUM(S50:S54)/SUM(S64:S67)</f>
        <v>6.0952861176741786</v>
      </c>
      <c r="T75" s="226">
        <f t="shared" si="170"/>
        <v>6.2298992273619929</v>
      </c>
      <c r="U75" s="226">
        <f t="shared" si="170"/>
        <v>5.2378984994255351</v>
      </c>
      <c r="V75" s="226">
        <f t="shared" si="170"/>
        <v>5.0867015200773222</v>
      </c>
      <c r="W75" s="226">
        <f t="shared" si="170"/>
        <v>5.1518041646797013</v>
      </c>
      <c r="X75" s="226">
        <f t="shared" si="170"/>
        <v>7.4201798690924061</v>
      </c>
      <c r="Y75" s="226">
        <f t="shared" si="170"/>
        <v>5.4620239692749077</v>
      </c>
      <c r="Z75" s="226">
        <f t="shared" si="170"/>
        <v>5.8311180757467049</v>
      </c>
      <c r="AA75" s="226">
        <f t="shared" si="170"/>
        <v>5.6777726126834862</v>
      </c>
      <c r="AB75" s="226">
        <f t="shared" si="170"/>
        <v>6.0447587138811247</v>
      </c>
      <c r="AC75" s="226">
        <f t="shared" si="170"/>
        <v>5.7556803984249116</v>
      </c>
      <c r="AD75" s="226">
        <f t="shared" si="170"/>
        <v>5.5315795027476309</v>
      </c>
      <c r="AE75" s="226">
        <f t="shared" si="170"/>
        <v>5.3061591557198744</v>
      </c>
      <c r="AF75" s="226">
        <f t="shared" si="170"/>
        <v>4.9309153594681465</v>
      </c>
      <c r="AG75" s="226">
        <f t="shared" si="170"/>
        <v>5.2310745163808825</v>
      </c>
      <c r="AH75" s="226">
        <f t="shared" si="170"/>
        <v>5.214162503794884</v>
      </c>
      <c r="AI75" s="226">
        <f t="shared" si="170"/>
        <v>5.3748428188726685</v>
      </c>
      <c r="AJ75" s="226">
        <f t="shared" si="170"/>
        <v>5.7441925009020007</v>
      </c>
      <c r="AK75" s="226">
        <f t="shared" si="170"/>
        <v>5.9862694550517652</v>
      </c>
      <c r="AL75" s="226">
        <f t="shared" si="170"/>
        <v>6.0564891758852486</v>
      </c>
      <c r="AM75" s="226">
        <f t="shared" si="170"/>
        <v>6.1191203081081245</v>
      </c>
      <c r="AN75" s="226">
        <f t="shared" si="170"/>
        <v>6.2505463793263303</v>
      </c>
      <c r="AO75" s="226">
        <f t="shared" si="170"/>
        <v>5.8214120181479911</v>
      </c>
      <c r="AP75" s="226">
        <f>SUM(AP50:AP54)/SUM(AP64:AP67)</f>
        <v>6.0066310903407114</v>
      </c>
      <c r="AQ75" s="226">
        <f t="shared" ref="AQ75:AS75" si="171">SUM(AQ50:AQ54)/SUM(AQ64:AQ67)</f>
        <v>6.3021433524554</v>
      </c>
      <c r="AR75" s="226">
        <f t="shared" si="171"/>
        <v>6.7537857898973774</v>
      </c>
      <c r="AS75" s="226">
        <f t="shared" si="171"/>
        <v>6.7305413229718809</v>
      </c>
      <c r="AT75" s="226">
        <f>SUM(AT50:AT54)/SUM(AT64:AT67)</f>
        <v>6.6436742695199653</v>
      </c>
      <c r="AU75" s="226">
        <f t="shared" ref="AU75:AV75" si="172">SUM(AU50:AU54)/SUM(AU64:AU67)</f>
        <v>6.0237093292904671</v>
      </c>
      <c r="AV75" s="226">
        <f t="shared" si="172"/>
        <v>5.749615016083772</v>
      </c>
      <c r="AW75" s="224"/>
      <c r="AX75" s="224"/>
      <c r="AY75" s="224"/>
      <c r="AZ75" s="224"/>
      <c r="BA75" s="224"/>
      <c r="BB75" s="224"/>
      <c r="BC75" s="223"/>
      <c r="BD75" s="223"/>
      <c r="BE75" s="223"/>
      <c r="BF75" s="223"/>
      <c r="BG75" s="223"/>
      <c r="BH75" s="223"/>
      <c r="BI75" s="223"/>
      <c r="BJ75" s="223"/>
      <c r="BK75" s="226">
        <f t="shared" ref="BK75:BO75" si="173">SUM(BK50:BK54)/SUM(BK64:BK67)</f>
        <v>5.0867015200773222</v>
      </c>
      <c r="BL75" s="226">
        <f t="shared" si="173"/>
        <v>5.8311180757467049</v>
      </c>
      <c r="BM75" s="226">
        <f t="shared" si="173"/>
        <v>5.5315795027476309</v>
      </c>
      <c r="BN75" s="226">
        <f t="shared" si="173"/>
        <v>5.214162503794884</v>
      </c>
      <c r="BO75" s="226">
        <f t="shared" si="173"/>
        <v>6.0564891758852486</v>
      </c>
      <c r="BP75" s="226">
        <f>SUM(BP50:BP54)/SUM(BP64:BP67)</f>
        <v>6.0066310903407114</v>
      </c>
      <c r="BQ75" s="226">
        <f>SUM(BQ50:BQ54)/SUM(BQ64:BQ67)</f>
        <v>6.6436742695199653</v>
      </c>
      <c r="CG75" s="209" t="s">
        <v>1568</v>
      </c>
      <c r="CM75" s="210"/>
    </row>
    <row r="76" spans="2:119" ht="13.5" customHeight="1">
      <c r="B76" s="204" t="s">
        <v>498</v>
      </c>
      <c r="S76" s="226">
        <f t="shared" ref="S76:AO76" si="174">(SUM(S50:S54)-S53)/SUM(S64:S67)</f>
        <v>4.3421166368927562</v>
      </c>
      <c r="T76" s="226">
        <f t="shared" si="174"/>
        <v>4.3271885437422055</v>
      </c>
      <c r="U76" s="226">
        <f t="shared" si="174"/>
        <v>3.6089802360532457</v>
      </c>
      <c r="V76" s="226">
        <f t="shared" si="174"/>
        <v>3.4063570863720241</v>
      </c>
      <c r="W76" s="226">
        <f t="shared" si="174"/>
        <v>3.2652996343983474</v>
      </c>
      <c r="X76" s="226">
        <f t="shared" si="174"/>
        <v>5.0566020718445577</v>
      </c>
      <c r="Y76" s="226">
        <f t="shared" si="174"/>
        <v>3.689343389940309</v>
      </c>
      <c r="Z76" s="226">
        <f t="shared" si="174"/>
        <v>3.7587792168560963</v>
      </c>
      <c r="AA76" s="226">
        <f t="shared" si="174"/>
        <v>3.484704367881855</v>
      </c>
      <c r="AB76" s="226">
        <f t="shared" si="174"/>
        <v>3.6848657053477223</v>
      </c>
      <c r="AC76" s="226">
        <f t="shared" si="174"/>
        <v>3.5299120259872301</v>
      </c>
      <c r="AD76" s="226">
        <f t="shared" si="174"/>
        <v>3.3926962507203902</v>
      </c>
      <c r="AE76" s="226">
        <f t="shared" si="174"/>
        <v>3.19738814287581</v>
      </c>
      <c r="AF76" s="226">
        <f t="shared" si="174"/>
        <v>2.8988077250624991</v>
      </c>
      <c r="AG76" s="226">
        <f t="shared" si="174"/>
        <v>2.9156015961599637</v>
      </c>
      <c r="AH76" s="226">
        <f t="shared" si="174"/>
        <v>2.9095920845637959</v>
      </c>
      <c r="AI76" s="226">
        <f t="shared" si="174"/>
        <v>3.0236728445683663</v>
      </c>
      <c r="AJ76" s="226">
        <f t="shared" si="174"/>
        <v>3.2548777441647472</v>
      </c>
      <c r="AK76" s="226">
        <f t="shared" si="174"/>
        <v>3.406657108589862</v>
      </c>
      <c r="AL76" s="226">
        <f t="shared" si="174"/>
        <v>3.4892486635261739</v>
      </c>
      <c r="AM76" s="226">
        <f t="shared" si="174"/>
        <v>3.5120726946699512</v>
      </c>
      <c r="AN76" s="226">
        <f t="shared" si="174"/>
        <v>3.7749579453488216</v>
      </c>
      <c r="AO76" s="226">
        <f t="shared" si="174"/>
        <v>3.2531905865456801</v>
      </c>
      <c r="AP76" s="226">
        <f>(SUM(AP50:AP54)-AP53)/SUM(AP64:AP67)</f>
        <v>3.4379550980454061</v>
      </c>
      <c r="AQ76" s="226">
        <f>(SUM(AQ50:AQ54)-AQ53)/SUM(AQ64:AQ67)</f>
        <v>3.6805522284561558</v>
      </c>
      <c r="AR76" s="226">
        <f>(SUM(AR50:AR54)-AR53)/SUM(AR64:AR67)</f>
        <v>4.0431792394825088</v>
      </c>
      <c r="AS76" s="226">
        <f>(SUM(AS50:AS54)-AS53)/SUM(AS64:AS67)</f>
        <v>4.1812644823499578</v>
      </c>
      <c r="AT76" s="226">
        <f>(SUM(AT50:AT54)-AT53)/SUM(AT64:AT67)</f>
        <v>4.2871956446953847</v>
      </c>
      <c r="AU76" s="226">
        <f t="shared" ref="AU76:AV76" si="175">(SUM(AU50:AU54)-AU53)/SUM(AU64:AU67)</f>
        <v>3.9525010508617058</v>
      </c>
      <c r="AV76" s="226">
        <f t="shared" si="175"/>
        <v>3.8561357881048517</v>
      </c>
      <c r="AW76" s="224"/>
      <c r="AX76" s="224"/>
      <c r="AY76" s="224"/>
      <c r="AZ76" s="224"/>
      <c r="BA76" s="224"/>
      <c r="BB76" s="224"/>
      <c r="BC76" s="223"/>
      <c r="BD76" s="223"/>
      <c r="BE76" s="223"/>
      <c r="BF76" s="223"/>
      <c r="BG76" s="223"/>
      <c r="BH76" s="223"/>
      <c r="BI76" s="223"/>
      <c r="BJ76" s="223"/>
      <c r="BK76" s="226">
        <f t="shared" ref="BK76:BO76" si="176">(SUM(BK50:BK54)-BK53)/SUM(BK64:BK67)</f>
        <v>3.4063570863720241</v>
      </c>
      <c r="BL76" s="226">
        <f t="shared" si="176"/>
        <v>3.7587792168560963</v>
      </c>
      <c r="BM76" s="226">
        <f t="shared" si="176"/>
        <v>3.3926962507203902</v>
      </c>
      <c r="BN76" s="226">
        <f t="shared" si="176"/>
        <v>2.9095920845637959</v>
      </c>
      <c r="BO76" s="226">
        <f t="shared" si="176"/>
        <v>3.4892486635261739</v>
      </c>
      <c r="BP76" s="226">
        <f>(SUM(BP50:BP54)-BP53)/SUM(BP64:BP67)</f>
        <v>3.4379550980454061</v>
      </c>
      <c r="BQ76" s="226">
        <f>(SUM(BQ50:BQ54)-BQ53)/SUM(BQ64:BQ67)</f>
        <v>4.2871956446953847</v>
      </c>
      <c r="CF76" s="209" t="s">
        <v>1569</v>
      </c>
    </row>
    <row r="77" spans="2:119" ht="13.5" customHeight="1">
      <c r="B77" s="204" t="s">
        <v>499</v>
      </c>
      <c r="S77" s="226">
        <f t="shared" ref="S77:AO77" si="177">S50/SUM(S64:S67)</f>
        <v>1.3773699072206536</v>
      </c>
      <c r="T77" s="226">
        <f t="shared" si="177"/>
        <v>1.1075099267499031</v>
      </c>
      <c r="U77" s="226">
        <f t="shared" si="177"/>
        <v>1.2949388977218657</v>
      </c>
      <c r="V77" s="226">
        <f t="shared" si="177"/>
        <v>0.79934759687197954</v>
      </c>
      <c r="W77" s="226">
        <f t="shared" si="177"/>
        <v>0.82267184413107164</v>
      </c>
      <c r="X77" s="226">
        <f t="shared" si="177"/>
        <v>1.731446168118332</v>
      </c>
      <c r="Y77" s="226">
        <f t="shared" si="177"/>
        <v>0.74142797649345238</v>
      </c>
      <c r="Z77" s="226">
        <f t="shared" si="177"/>
        <v>0.65768606275724051</v>
      </c>
      <c r="AA77" s="226">
        <f t="shared" si="177"/>
        <v>0.49732706370349183</v>
      </c>
      <c r="AB77" s="226">
        <f t="shared" si="177"/>
        <v>0.76149973159580187</v>
      </c>
      <c r="AC77" s="226">
        <f t="shared" si="177"/>
        <v>0.57118484882428466</v>
      </c>
      <c r="AD77" s="226">
        <f t="shared" si="177"/>
        <v>0.48198413922416938</v>
      </c>
      <c r="AE77" s="226">
        <f t="shared" si="177"/>
        <v>0.52393177503285948</v>
      </c>
      <c r="AF77" s="226">
        <f t="shared" si="177"/>
        <v>0.39994780363176835</v>
      </c>
      <c r="AG77" s="226">
        <f t="shared" si="177"/>
        <v>0.39646647196599494</v>
      </c>
      <c r="AH77" s="226">
        <f t="shared" si="177"/>
        <v>0.48200535423508972</v>
      </c>
      <c r="AI77" s="226">
        <f t="shared" si="177"/>
        <v>0.64709419933300527</v>
      </c>
      <c r="AJ77" s="226">
        <f t="shared" si="177"/>
        <v>0.79214426466098642</v>
      </c>
      <c r="AK77" s="226">
        <f t="shared" si="177"/>
        <v>0.69450226774562651</v>
      </c>
      <c r="AL77" s="226">
        <f t="shared" si="177"/>
        <v>1.1081220557878579</v>
      </c>
      <c r="AM77" s="226">
        <f t="shared" si="177"/>
        <v>1.4601367115282045</v>
      </c>
      <c r="AN77" s="226">
        <f t="shared" si="177"/>
        <v>1.9095593202378902</v>
      </c>
      <c r="AO77" s="226">
        <f t="shared" si="177"/>
        <v>1.8309625616085126</v>
      </c>
      <c r="AP77" s="226">
        <f>AP50/SUM(AP64:AP67)</f>
        <v>2.048691149073226</v>
      </c>
      <c r="AQ77" s="226">
        <f t="shared" ref="AQ77:AS77" si="178">AQ50/SUM(AQ64:AQ67)</f>
        <v>2.3706360713610288</v>
      </c>
      <c r="AR77" s="226">
        <f t="shared" si="178"/>
        <v>2.6734617554401914</v>
      </c>
      <c r="AS77" s="226">
        <f t="shared" si="178"/>
        <v>1.8928261882160102</v>
      </c>
      <c r="AT77" s="226">
        <f>AT50/SUM(AT64:AT67)</f>
        <v>1.0205151447308785</v>
      </c>
      <c r="AU77" s="226">
        <f t="shared" ref="AU77:AV77" si="179">AU50/SUM(AU64:AU67)</f>
        <v>1.1396016643760241</v>
      </c>
      <c r="AV77" s="226">
        <f t="shared" si="179"/>
        <v>0.87806703853261237</v>
      </c>
      <c r="AW77" s="224"/>
      <c r="AX77" s="224"/>
      <c r="AY77" s="224"/>
      <c r="AZ77" s="224"/>
      <c r="BA77" s="224"/>
      <c r="BB77" s="224"/>
      <c r="BC77" s="223"/>
      <c r="BD77" s="223"/>
      <c r="BE77" s="223"/>
      <c r="BF77" s="223"/>
      <c r="BG77" s="223"/>
      <c r="BH77" s="223"/>
      <c r="BI77" s="223"/>
      <c r="BJ77" s="223"/>
      <c r="BK77" s="226">
        <f t="shared" ref="BK77:BO77" si="180">SUM(BK50:BK51)/SUM(BK64:BK67)</f>
        <v>2.0801006062736138</v>
      </c>
      <c r="BL77" s="226">
        <f t="shared" si="180"/>
        <v>2.5000188800362495</v>
      </c>
      <c r="BM77" s="226">
        <f t="shared" si="180"/>
        <v>2.068840962036413</v>
      </c>
      <c r="BN77" s="226">
        <f t="shared" si="180"/>
        <v>1.2973670410951346</v>
      </c>
      <c r="BO77" s="226">
        <f t="shared" si="180"/>
        <v>1.9133210712962474</v>
      </c>
      <c r="BP77" s="226">
        <f>SUM(BP50:BP51)/SUM(BP64:BP67)</f>
        <v>2.1480122517288196</v>
      </c>
      <c r="BQ77" s="226">
        <f>SUM(BQ50:BQ51)/SUM(BQ64:BQ67)</f>
        <v>2.9749362485188358</v>
      </c>
      <c r="CE77" s="209" t="s">
        <v>1888</v>
      </c>
    </row>
    <row r="78" spans="2:119" ht="13.5" customHeight="1">
      <c r="B78" s="204" t="s">
        <v>1518</v>
      </c>
      <c r="S78" s="226">
        <f t="shared" ref="S78:AV78" si="181">S26/SUM(S55:S57)</f>
        <v>1.6518210813313441</v>
      </c>
      <c r="T78" s="226">
        <f t="shared" si="181"/>
        <v>1.6688345602865102</v>
      </c>
      <c r="U78" s="226">
        <f t="shared" si="181"/>
        <v>1.5953660712243545</v>
      </c>
      <c r="V78" s="226">
        <f t="shared" si="181"/>
        <v>1.0724088798328577</v>
      </c>
      <c r="W78" s="226">
        <f t="shared" si="181"/>
        <v>0.97270337860335965</v>
      </c>
      <c r="X78" s="226">
        <f t="shared" si="181"/>
        <v>0.73607687135813538</v>
      </c>
      <c r="Y78" s="226">
        <f t="shared" si="181"/>
        <v>1.0386164611429591</v>
      </c>
      <c r="Z78" s="226">
        <f t="shared" si="181"/>
        <v>1.3098739660665801</v>
      </c>
      <c r="AA78" s="226">
        <f t="shared" si="181"/>
        <v>1.3146648847725753</v>
      </c>
      <c r="AB78" s="226">
        <f t="shared" si="181"/>
        <v>1.0200580043835374</v>
      </c>
      <c r="AC78" s="226">
        <f t="shared" si="181"/>
        <v>0.83733796122962267</v>
      </c>
      <c r="AD78" s="226">
        <f t="shared" si="181"/>
        <v>0.89829008265554611</v>
      </c>
      <c r="AE78" s="226">
        <f t="shared" si="181"/>
        <v>0.7475189629320047</v>
      </c>
      <c r="AF78" s="226">
        <f t="shared" si="181"/>
        <v>0.75573970336400309</v>
      </c>
      <c r="AG78" s="226">
        <f t="shared" si="181"/>
        <v>0.78312811492231016</v>
      </c>
      <c r="AH78" s="226">
        <f t="shared" si="181"/>
        <v>0.76031879136967551</v>
      </c>
      <c r="AI78" s="226">
        <f t="shared" si="181"/>
        <v>0.83926684096345328</v>
      </c>
      <c r="AJ78" s="226">
        <f t="shared" si="181"/>
        <v>0.91689077604373037</v>
      </c>
      <c r="AK78" s="226">
        <f t="shared" si="181"/>
        <v>0.96228988760851941</v>
      </c>
      <c r="AL78" s="226">
        <f t="shared" si="181"/>
        <v>0.97327193980973492</v>
      </c>
      <c r="AM78" s="226">
        <f t="shared" si="181"/>
        <v>0.9550309605480034</v>
      </c>
      <c r="AN78" s="226">
        <f t="shared" si="181"/>
        <v>1.1072853756227092</v>
      </c>
      <c r="AO78" s="226">
        <f t="shared" si="181"/>
        <v>1.1159307455603753</v>
      </c>
      <c r="AP78" s="226">
        <f t="shared" si="181"/>
        <v>1.1752829246850389</v>
      </c>
      <c r="AQ78" s="226">
        <f t="shared" si="181"/>
        <v>1.1790253235463151</v>
      </c>
      <c r="AR78" s="226">
        <f t="shared" si="181"/>
        <v>1.1848755628468706</v>
      </c>
      <c r="AS78" s="226">
        <f t="shared" si="181"/>
        <v>1.2013650143106338</v>
      </c>
      <c r="AT78" s="226">
        <f t="shared" si="181"/>
        <v>1.2157447278348239</v>
      </c>
      <c r="AU78" s="226">
        <f t="shared" si="181"/>
        <v>1.1372120616251089</v>
      </c>
      <c r="AV78" s="226">
        <f t="shared" si="181"/>
        <v>1.153064572869521</v>
      </c>
      <c r="AW78" s="224"/>
      <c r="AX78" s="224"/>
      <c r="AY78" s="224"/>
      <c r="AZ78" s="224"/>
      <c r="BA78" s="224"/>
      <c r="BB78" s="224"/>
      <c r="BC78" s="223"/>
      <c r="BD78" s="223"/>
      <c r="BE78" s="223"/>
      <c r="BF78" s="223"/>
      <c r="BG78" s="223"/>
      <c r="BH78" s="223"/>
      <c r="BI78" s="223"/>
      <c r="BJ78" s="223"/>
      <c r="BK78" s="226">
        <f t="shared" ref="BK78:BQ78" si="182">BK26/SUM(BK55:BK57)</f>
        <v>4.0412763098639379</v>
      </c>
      <c r="BL78" s="226">
        <f t="shared" si="182"/>
        <v>4.3979407656208318</v>
      </c>
      <c r="BM78" s="226">
        <f t="shared" si="182"/>
        <v>3.2920862929185728</v>
      </c>
      <c r="BN78" s="226">
        <f t="shared" si="182"/>
        <v>2.9113700880491042</v>
      </c>
      <c r="BO78" s="226">
        <f t="shared" si="182"/>
        <v>3.6183893429594005</v>
      </c>
      <c r="BP78" s="226">
        <f t="shared" si="182"/>
        <v>4.4500569947028445</v>
      </c>
      <c r="BQ78" s="226">
        <f t="shared" si="182"/>
        <v>4.4280351425101339</v>
      </c>
      <c r="CE78" s="209" t="s">
        <v>561</v>
      </c>
    </row>
    <row r="79" spans="2:119" ht="13.5" customHeight="1">
      <c r="B79" s="204" t="s">
        <v>500</v>
      </c>
      <c r="S79" s="226">
        <f t="shared" ref="S79:AV79" si="183">S26/S62</f>
        <v>0.2258113289813973</v>
      </c>
      <c r="T79" s="226">
        <f t="shared" si="183"/>
        <v>0.229360683223126</v>
      </c>
      <c r="U79" s="226">
        <f t="shared" si="183"/>
        <v>0.22713906573098652</v>
      </c>
      <c r="V79" s="226">
        <f t="shared" si="183"/>
        <v>0.2181420361284937</v>
      </c>
      <c r="W79" s="226">
        <f t="shared" si="183"/>
        <v>0.20670239672407562</v>
      </c>
      <c r="X79" s="226">
        <f t="shared" si="183"/>
        <v>0.13470904896180469</v>
      </c>
      <c r="Y79" s="226">
        <f t="shared" si="183"/>
        <v>0.18647322486375484</v>
      </c>
      <c r="Z79" s="226">
        <f t="shared" si="183"/>
        <v>0.2028134238495814</v>
      </c>
      <c r="AA79" s="226">
        <f t="shared" si="183"/>
        <v>0.20123117323006956</v>
      </c>
      <c r="AB79" s="226">
        <f t="shared" si="183"/>
        <v>0.20247896657723757</v>
      </c>
      <c r="AC79" s="226">
        <f t="shared" si="183"/>
        <v>0.19532674846209727</v>
      </c>
      <c r="AD79" s="226">
        <f t="shared" si="183"/>
        <v>0.16394615230058271</v>
      </c>
      <c r="AE79" s="226">
        <f t="shared" si="183"/>
        <v>0.15665659936092716</v>
      </c>
      <c r="AF79" s="226">
        <f t="shared" si="183"/>
        <v>0.15686422170344153</v>
      </c>
      <c r="AG79" s="226">
        <f t="shared" si="183"/>
        <v>0.16169781953857482</v>
      </c>
      <c r="AH79" s="226">
        <f t="shared" si="183"/>
        <v>0.16137957496101057</v>
      </c>
      <c r="AI79" s="226">
        <f t="shared" si="183"/>
        <v>0.17300963665109534</v>
      </c>
      <c r="AJ79" s="226">
        <f t="shared" si="183"/>
        <v>0.18254391524936267</v>
      </c>
      <c r="AK79" s="226">
        <f t="shared" si="183"/>
        <v>0.18448940564991143</v>
      </c>
      <c r="AL79" s="226">
        <f t="shared" si="183"/>
        <v>0.18294614487520119</v>
      </c>
      <c r="AM79" s="226">
        <f t="shared" si="183"/>
        <v>0.17640971107925144</v>
      </c>
      <c r="AN79" s="226">
        <f t="shared" si="183"/>
        <v>0.19510465859617179</v>
      </c>
      <c r="AO79" s="226">
        <f t="shared" si="183"/>
        <v>0.20349896526522815</v>
      </c>
      <c r="AP79" s="226">
        <f t="shared" si="183"/>
        <v>0.20578198458624455</v>
      </c>
      <c r="AQ79" s="226">
        <f t="shared" si="183"/>
        <v>0.20343850871175484</v>
      </c>
      <c r="AR79" s="226">
        <f t="shared" si="183"/>
        <v>0.20268281338349625</v>
      </c>
      <c r="AS79" s="226">
        <f t="shared" si="183"/>
        <v>0.20333140522446799</v>
      </c>
      <c r="AT79" s="226">
        <f t="shared" si="183"/>
        <v>0.21099517057384273</v>
      </c>
      <c r="AU79" s="226">
        <f t="shared" si="183"/>
        <v>0.19740333895549922</v>
      </c>
      <c r="AV79" s="226">
        <f t="shared" si="183"/>
        <v>0.19751934828327825</v>
      </c>
      <c r="AW79" s="224"/>
      <c r="AX79" s="224"/>
      <c r="AY79" s="224"/>
      <c r="AZ79" s="224"/>
      <c r="BA79" s="224"/>
      <c r="BB79" s="224"/>
      <c r="BC79" s="223"/>
      <c r="BD79" s="223"/>
      <c r="BE79" s="223"/>
      <c r="BF79" s="223"/>
      <c r="BG79" s="223"/>
      <c r="BH79" s="223"/>
      <c r="BI79" s="223"/>
      <c r="BJ79" s="223"/>
      <c r="BK79" s="226">
        <f t="shared" ref="BK79:BQ79" si="184">BK26/BK62</f>
        <v>0.82204862284333569</v>
      </c>
      <c r="BL79" s="226">
        <f t="shared" si="184"/>
        <v>0.68095209743093121</v>
      </c>
      <c r="BM79" s="226">
        <f t="shared" si="184"/>
        <v>0.6008358448864779</v>
      </c>
      <c r="BN79" s="226">
        <f t="shared" si="184"/>
        <v>0.61794562056947122</v>
      </c>
      <c r="BO79" s="226">
        <f t="shared" si="184"/>
        <v>0.68014945656539028</v>
      </c>
      <c r="BP79" s="226">
        <f t="shared" si="184"/>
        <v>0.77916690582164094</v>
      </c>
      <c r="BQ79" s="226">
        <f t="shared" si="184"/>
        <v>0.76849523490414251</v>
      </c>
      <c r="CE79" s="209" t="s">
        <v>566</v>
      </c>
    </row>
    <row r="80" spans="2:119" ht="13.5" customHeight="1">
      <c r="B80" s="204" t="s">
        <v>496</v>
      </c>
      <c r="S80" s="226"/>
      <c r="T80" s="226">
        <f>T27/AVERAGE(A53:T53)</f>
        <v>0.31657928041945399</v>
      </c>
      <c r="U80" s="226">
        <f>U27/AVERAGE(B53:U53)</f>
        <v>0.33059006801170254</v>
      </c>
      <c r="V80" s="226">
        <f t="shared" ref="V80:AV80" si="185">V27/AVERAGE(S53:V53)</f>
        <v>0.34419115808075174</v>
      </c>
      <c r="W80" s="226">
        <f t="shared" si="185"/>
        <v>0.33297424346293208</v>
      </c>
      <c r="X80" s="226">
        <f t="shared" si="185"/>
        <v>0.25009915311574088</v>
      </c>
      <c r="Y80" s="226">
        <f t="shared" si="185"/>
        <v>0.34663673964499597</v>
      </c>
      <c r="Z80" s="226">
        <f t="shared" si="185"/>
        <v>0.38168557110329349</v>
      </c>
      <c r="AA80" s="226">
        <f t="shared" si="185"/>
        <v>0.27561062444260015</v>
      </c>
      <c r="AB80" s="226">
        <f t="shared" si="185"/>
        <v>0.28791755726530988</v>
      </c>
      <c r="AC80" s="226">
        <f t="shared" si="185"/>
        <v>0.28707517627826667</v>
      </c>
      <c r="AD80" s="226">
        <f t="shared" si="185"/>
        <v>0.30736568576230944</v>
      </c>
      <c r="AE80" s="226">
        <f t="shared" si="185"/>
        <v>0.29111084473517479</v>
      </c>
      <c r="AF80" s="226">
        <f t="shared" si="185"/>
        <v>0.27214821272247108</v>
      </c>
      <c r="AG80" s="226">
        <f t="shared" si="185"/>
        <v>0.2717410141762851</v>
      </c>
      <c r="AH80" s="226">
        <f t="shared" si="185"/>
        <v>0.27022674599972879</v>
      </c>
      <c r="AI80" s="226">
        <f t="shared" si="185"/>
        <v>0.27908378308421578</v>
      </c>
      <c r="AJ80" s="226">
        <f t="shared" si="185"/>
        <v>0.27882533773676943</v>
      </c>
      <c r="AK80" s="226">
        <f t="shared" si="185"/>
        <v>0.26419798407300027</v>
      </c>
      <c r="AL80" s="226">
        <f t="shared" si="185"/>
        <v>0.26701613563764443</v>
      </c>
      <c r="AM80" s="226">
        <f t="shared" si="185"/>
        <v>0.25667959278769831</v>
      </c>
      <c r="AN80" s="226">
        <f t="shared" si="185"/>
        <v>0.35609244587414374</v>
      </c>
      <c r="AO80" s="226">
        <f t="shared" si="185"/>
        <v>0.25926862817415797</v>
      </c>
      <c r="AP80" s="226">
        <f t="shared" si="185"/>
        <v>0.26661324225743571</v>
      </c>
      <c r="AQ80" s="226">
        <f t="shared" si="185"/>
        <v>0.27237685965384584</v>
      </c>
      <c r="AR80" s="226">
        <f t="shared" si="185"/>
        <v>0.28094942873778395</v>
      </c>
      <c r="AS80" s="226">
        <f t="shared" si="185"/>
        <v>0.27164976913608935</v>
      </c>
      <c r="AT80" s="226">
        <f t="shared" si="185"/>
        <v>0.28875867178554593</v>
      </c>
      <c r="AU80" s="226">
        <f t="shared" si="185"/>
        <v>0.28055796231505925</v>
      </c>
      <c r="AV80" s="226">
        <f t="shared" si="185"/>
        <v>0.2867498365425995</v>
      </c>
      <c r="AW80" s="224"/>
      <c r="AX80" s="224"/>
      <c r="AY80" s="224"/>
      <c r="AZ80" s="224"/>
      <c r="BA80" s="224"/>
      <c r="BB80" s="224"/>
      <c r="BC80" s="223"/>
      <c r="BD80" s="223"/>
      <c r="BE80" s="223"/>
      <c r="BF80" s="223"/>
      <c r="BG80" s="223"/>
      <c r="BH80" s="223"/>
      <c r="BI80" s="223"/>
      <c r="BJ80" s="223"/>
      <c r="BK80" s="226">
        <f t="shared" ref="BK80:BQ80" si="186">BK27/AVERAGE(BH53:BK53)</f>
        <v>1.1467331625183017</v>
      </c>
      <c r="BL80" s="226">
        <f t="shared" si="186"/>
        <v>1.1931579328839603</v>
      </c>
      <c r="BM80" s="226">
        <f t="shared" si="186"/>
        <v>1.283953567716891</v>
      </c>
      <c r="BN80" s="226">
        <f t="shared" si="186"/>
        <v>1.2862543284788392</v>
      </c>
      <c r="BO80" s="226">
        <f t="shared" si="186"/>
        <v>1.2477387018073789</v>
      </c>
      <c r="BP80" s="226">
        <f t="shared" si="186"/>
        <v>1.2629734175124079</v>
      </c>
      <c r="BQ80" s="226">
        <f t="shared" si="186"/>
        <v>1.1823971441664023</v>
      </c>
      <c r="CF80" s="209" t="s">
        <v>1511</v>
      </c>
    </row>
    <row r="81" spans="2:119" ht="13.5" customHeight="1">
      <c r="B81" s="204" t="s">
        <v>494</v>
      </c>
      <c r="S81" s="236">
        <f t="shared" ref="S81:AV81" si="187">S39/S62</f>
        <v>1.8808380612142642E-2</v>
      </c>
      <c r="T81" s="236">
        <f t="shared" si="187"/>
        <v>2.8688671683395731E-2</v>
      </c>
      <c r="U81" s="236">
        <f t="shared" si="187"/>
        <v>1.8696777765113894E-2</v>
      </c>
      <c r="V81" s="236">
        <f t="shared" si="187"/>
        <v>1.4249865971067921E-2</v>
      </c>
      <c r="W81" s="236">
        <f t="shared" si="187"/>
        <v>2.282307599662792E-3</v>
      </c>
      <c r="X81" s="236">
        <f t="shared" si="187"/>
        <v>-1.5303768264547575E-2</v>
      </c>
      <c r="Y81" s="236">
        <f t="shared" si="187"/>
        <v>-1.0900847089487405E-2</v>
      </c>
      <c r="Z81" s="236">
        <f t="shared" si="187"/>
        <v>4.4411609960351662E-3</v>
      </c>
      <c r="AA81" s="236">
        <f t="shared" si="187"/>
        <v>1.4071910411691393E-2</v>
      </c>
      <c r="AB81" s="236">
        <f t="shared" si="187"/>
        <v>1.0167893845210732E-2</v>
      </c>
      <c r="AC81" s="236">
        <f t="shared" si="187"/>
        <v>9.0851084161065777E-3</v>
      </c>
      <c r="AD81" s="236">
        <f t="shared" si="187"/>
        <v>-1.9823186658629765E-2</v>
      </c>
      <c r="AE81" s="236">
        <f t="shared" si="187"/>
        <v>5.5317680990614748E-5</v>
      </c>
      <c r="AF81" s="236">
        <f t="shared" si="187"/>
        <v>-2.7592439189698067E-3</v>
      </c>
      <c r="AG81" s="236">
        <f t="shared" si="187"/>
        <v>-1.7251802926904591E-3</v>
      </c>
      <c r="AH81" s="236">
        <f t="shared" si="187"/>
        <v>2.8229918461490956E-3</v>
      </c>
      <c r="AI81" s="236">
        <f t="shared" si="187"/>
        <v>6.1664246634052658E-3</v>
      </c>
      <c r="AJ81" s="236">
        <f t="shared" si="187"/>
        <v>1.333303549240087E-2</v>
      </c>
      <c r="AK81" s="236">
        <f t="shared" si="187"/>
        <v>6.272231177688015E-3</v>
      </c>
      <c r="AL81" s="236">
        <f t="shared" si="187"/>
        <v>3.4759253488230148E-2</v>
      </c>
      <c r="AM81" s="236">
        <f t="shared" si="187"/>
        <v>7.0260057157505891E-3</v>
      </c>
      <c r="AN81" s="236">
        <f t="shared" si="187"/>
        <v>-3.922946041245675E-2</v>
      </c>
      <c r="AO81" s="236">
        <f t="shared" si="187"/>
        <v>1.9944250748585503E-2</v>
      </c>
      <c r="AP81" s="236">
        <f t="shared" si="187"/>
        <v>2.1908769769419825E-2</v>
      </c>
      <c r="AQ81" s="236">
        <f t="shared" si="187"/>
        <v>2.4617352462519778E-2</v>
      </c>
      <c r="AR81" s="236">
        <f t="shared" si="187"/>
        <v>2.7029947892565662E-2</v>
      </c>
      <c r="AS81" s="236">
        <f t="shared" si="187"/>
        <v>2.6285149529715331E-2</v>
      </c>
      <c r="AT81" s="236">
        <f t="shared" si="187"/>
        <v>2.5919909598135435E-2</v>
      </c>
      <c r="AU81" s="236">
        <f t="shared" si="187"/>
        <v>1.7163583956916167E-2</v>
      </c>
      <c r="AV81" s="236">
        <f t="shared" si="187"/>
        <v>1.7628295208998928E-2</v>
      </c>
      <c r="AW81" s="237"/>
      <c r="AX81" s="237"/>
      <c r="AY81" s="237"/>
      <c r="AZ81" s="237"/>
      <c r="BA81" s="237"/>
      <c r="BB81" s="237"/>
      <c r="BC81" s="236"/>
      <c r="BD81" s="236"/>
      <c r="BE81" s="236"/>
      <c r="BF81" s="236"/>
      <c r="BG81" s="236"/>
      <c r="BH81" s="236"/>
      <c r="BI81" s="236"/>
      <c r="BJ81" s="236"/>
      <c r="BK81" s="236">
        <f t="shared" ref="BK81:BQ81" si="188">BK39/BK62</f>
        <v>7.2767573558231602E-2</v>
      </c>
      <c r="BL81" s="236">
        <f t="shared" si="188"/>
        <v>-1.8957864257220253E-2</v>
      </c>
      <c r="BM81" s="236">
        <f t="shared" si="188"/>
        <v>4.2467349809121686E-3</v>
      </c>
      <c r="BN81" s="236">
        <f t="shared" si="188"/>
        <v>-1.4603694253204809E-3</v>
      </c>
      <c r="BO81" s="236">
        <f t="shared" si="188"/>
        <v>5.8478254583773738E-2</v>
      </c>
      <c r="BP81" s="236">
        <f t="shared" si="188"/>
        <v>9.1248493323661979E-3</v>
      </c>
      <c r="BQ81" s="236">
        <f t="shared" si="188"/>
        <v>9.7282195398768465E-2</v>
      </c>
      <c r="CE81" s="209" t="s">
        <v>1889</v>
      </c>
    </row>
    <row r="82" spans="2:119" ht="13.5" customHeight="1">
      <c r="B82" s="204" t="s">
        <v>495</v>
      </c>
      <c r="S82" s="236">
        <f t="shared" ref="S82:AV82" si="189">S39/S72</f>
        <v>2.4499442361729757E-2</v>
      </c>
      <c r="T82" s="236">
        <f t="shared" si="189"/>
        <v>3.6958670844131083E-2</v>
      </c>
      <c r="U82" s="236">
        <f t="shared" si="189"/>
        <v>2.4591972005028474E-2</v>
      </c>
      <c r="V82" s="236">
        <f t="shared" si="189"/>
        <v>1.9540251187674339E-2</v>
      </c>
      <c r="W82" s="236">
        <f t="shared" si="189"/>
        <v>3.1058127457146817E-3</v>
      </c>
      <c r="X82" s="236">
        <f t="shared" si="189"/>
        <v>-1.916037749474055E-2</v>
      </c>
      <c r="Y82" s="236">
        <f t="shared" si="189"/>
        <v>-1.4253395125477644E-2</v>
      </c>
      <c r="Z82" s="236">
        <f t="shared" si="189"/>
        <v>5.7307443852816437E-3</v>
      </c>
      <c r="AA82" s="236">
        <f t="shared" si="189"/>
        <v>1.8189896244413667E-2</v>
      </c>
      <c r="AB82" s="236">
        <f t="shared" si="189"/>
        <v>1.3744178586703451E-2</v>
      </c>
      <c r="AC82" s="236">
        <f t="shared" si="189"/>
        <v>1.2915514539083208E-2</v>
      </c>
      <c r="AD82" s="236">
        <f t="shared" si="189"/>
        <v>-2.5856276214008073E-2</v>
      </c>
      <c r="AE82" s="236">
        <f t="shared" si="189"/>
        <v>7.5054570927609243E-5</v>
      </c>
      <c r="AF82" s="236">
        <f t="shared" si="189"/>
        <v>-3.7772611763735682E-3</v>
      </c>
      <c r="AG82" s="236">
        <f t="shared" si="189"/>
        <v>-2.341458605476552E-3</v>
      </c>
      <c r="AH82" s="236">
        <f t="shared" si="189"/>
        <v>3.8744245928850241E-3</v>
      </c>
      <c r="AI82" s="236">
        <f t="shared" si="189"/>
        <v>8.3984971726816914E-3</v>
      </c>
      <c r="AJ82" s="236">
        <f t="shared" si="189"/>
        <v>1.7908326246574215E-2</v>
      </c>
      <c r="AK82" s="236">
        <f t="shared" si="189"/>
        <v>8.3413486357683496E-3</v>
      </c>
      <c r="AL82" s="236">
        <f t="shared" si="189"/>
        <v>4.588528678304242E-2</v>
      </c>
      <c r="AM82" s="236">
        <f t="shared" si="189"/>
        <v>9.2228617293613462E-3</v>
      </c>
      <c r="AN82" s="236">
        <f t="shared" si="189"/>
        <v>-5.1841537127410513E-2</v>
      </c>
      <c r="AO82" s="236">
        <f t="shared" si="189"/>
        <v>2.6714239142246562E-2</v>
      </c>
      <c r="AP82" s="236">
        <f t="shared" si="189"/>
        <v>2.9185068435901025E-2</v>
      </c>
      <c r="AQ82" s="236">
        <f t="shared" si="189"/>
        <v>3.2338677628986165E-2</v>
      </c>
      <c r="AR82" s="236">
        <f t="shared" si="189"/>
        <v>3.49858959001507E-2</v>
      </c>
      <c r="AS82" s="236">
        <f t="shared" si="189"/>
        <v>3.3746327360940194E-2</v>
      </c>
      <c r="AT82" s="236">
        <f t="shared" si="189"/>
        <v>3.3162580913601289E-2</v>
      </c>
      <c r="AU82" s="236">
        <f t="shared" si="189"/>
        <v>2.2108654292406368E-2</v>
      </c>
      <c r="AV82" s="236">
        <f t="shared" si="189"/>
        <v>2.2740902267230904E-2</v>
      </c>
      <c r="AW82" s="237"/>
      <c r="AX82" s="237"/>
      <c r="AY82" s="237"/>
      <c r="AZ82" s="237"/>
      <c r="BA82" s="237"/>
      <c r="BB82" s="237"/>
      <c r="BC82" s="236"/>
      <c r="BD82" s="236"/>
      <c r="BE82" s="236"/>
      <c r="BF82" s="236"/>
      <c r="BG82" s="236"/>
      <c r="BH82" s="236"/>
      <c r="BI82" s="236"/>
      <c r="BJ82" s="236"/>
      <c r="BK82" s="236">
        <f t="shared" ref="BK82:BQ82" si="190">BK39/BK72</f>
        <v>9.9783160664973905E-2</v>
      </c>
      <c r="BL82" s="236">
        <f t="shared" si="190"/>
        <v>-2.4462674117418159E-2</v>
      </c>
      <c r="BM82" s="236">
        <f t="shared" si="190"/>
        <v>5.5392079268119735E-3</v>
      </c>
      <c r="BN82" s="236">
        <f t="shared" si="190"/>
        <v>-2.0042888979213188E-3</v>
      </c>
      <c r="BO82" s="236">
        <f t="shared" si="190"/>
        <v>7.7196464620761018E-2</v>
      </c>
      <c r="BP82" s="236">
        <f t="shared" si="190"/>
        <v>1.2155376821025653E-2</v>
      </c>
      <c r="BQ82" s="236">
        <f t="shared" si="190"/>
        <v>0.1244652750099292</v>
      </c>
      <c r="CG82" s="209" t="s">
        <v>1715</v>
      </c>
    </row>
    <row r="83" spans="2:119" ht="13.5" customHeight="1">
      <c r="AQ83" s="204"/>
      <c r="AR83" s="204"/>
      <c r="AS83" s="210"/>
      <c r="AT83" s="204"/>
      <c r="BL83" s="223"/>
      <c r="BM83" s="223"/>
      <c r="BN83" s="223"/>
      <c r="BO83" s="223"/>
      <c r="BP83" s="223"/>
      <c r="BQ83" s="223"/>
      <c r="CG83" s="209" t="s">
        <v>1910</v>
      </c>
    </row>
    <row r="84" spans="2:119" ht="13.5" customHeight="1">
      <c r="B84" s="204" t="s">
        <v>1656</v>
      </c>
      <c r="C84" s="223">
        <f t="shared" ref="C84:AV84" si="191">C39</f>
        <v>0.5</v>
      </c>
      <c r="D84" s="223">
        <f t="shared" si="191"/>
        <v>-0.55000000000000027</v>
      </c>
      <c r="E84" s="223">
        <f t="shared" si="191"/>
        <v>0.32000000000000006</v>
      </c>
      <c r="F84" s="223">
        <f t="shared" si="191"/>
        <v>0.75000000000000011</v>
      </c>
      <c r="G84" s="223">
        <f t="shared" si="191"/>
        <v>2.5</v>
      </c>
      <c r="H84" s="223">
        <f t="shared" si="191"/>
        <v>3</v>
      </c>
      <c r="I84" s="223">
        <f t="shared" si="191"/>
        <v>12.200000000000001</v>
      </c>
      <c r="J84" s="223">
        <f t="shared" si="191"/>
        <v>-2.4</v>
      </c>
      <c r="K84" s="223">
        <f t="shared" si="191"/>
        <v>-3.1</v>
      </c>
      <c r="L84" s="223">
        <f t="shared" si="191"/>
        <v>-1.6</v>
      </c>
      <c r="M84" s="223">
        <f t="shared" si="191"/>
        <v>0.2</v>
      </c>
      <c r="N84" s="223">
        <f t="shared" si="191"/>
        <v>9.1</v>
      </c>
      <c r="O84" s="223">
        <f t="shared" si="191"/>
        <v>5.5</v>
      </c>
      <c r="P84" s="223">
        <f t="shared" si="191"/>
        <v>13.4</v>
      </c>
      <c r="Q84" s="223">
        <f t="shared" si="191"/>
        <v>-18.899999999999999</v>
      </c>
      <c r="R84" s="223">
        <f t="shared" si="191"/>
        <v>6.52</v>
      </c>
      <c r="S84" s="223">
        <f t="shared" si="191"/>
        <v>10.698</v>
      </c>
      <c r="T84" s="223">
        <f t="shared" si="191"/>
        <v>16.785999999999987</v>
      </c>
      <c r="U84" s="223">
        <f t="shared" si="191"/>
        <v>11.483000000000001</v>
      </c>
      <c r="V84" s="223">
        <f t="shared" si="191"/>
        <v>9.4890000000000985</v>
      </c>
      <c r="W84" s="223">
        <f t="shared" si="191"/>
        <v>1.5160000000000133</v>
      </c>
      <c r="X84" s="223">
        <f t="shared" si="191"/>
        <v>-11.940000000000015</v>
      </c>
      <c r="Y84" s="223">
        <f t="shared" si="191"/>
        <v>-8.833000000000002</v>
      </c>
      <c r="Z84" s="223">
        <f t="shared" si="191"/>
        <v>3.6550000000000091</v>
      </c>
      <c r="AA84" s="223">
        <f t="shared" si="191"/>
        <v>11.832000000000003</v>
      </c>
      <c r="AB84" s="223">
        <f t="shared" si="191"/>
        <v>9.2550000000000221</v>
      </c>
      <c r="AC84" s="223">
        <f t="shared" si="191"/>
        <v>8.841999999999981</v>
      </c>
      <c r="AD84" s="223">
        <f t="shared" si="191"/>
        <v>-24.665000000000081</v>
      </c>
      <c r="AE84" s="223">
        <f t="shared" si="191"/>
        <v>7.1999999999997399E-2</v>
      </c>
      <c r="AF84" s="223">
        <f t="shared" si="191"/>
        <v>-3.6640000000000068</v>
      </c>
      <c r="AG84" s="223">
        <f t="shared" si="191"/>
        <v>-2.2800000000000034</v>
      </c>
      <c r="AH84" s="223">
        <f t="shared" si="191"/>
        <v>3.869999999999949</v>
      </c>
      <c r="AI84" s="223">
        <f t="shared" si="191"/>
        <v>8.6040000000000401</v>
      </c>
      <c r="AJ84" s="223">
        <f t="shared" si="191"/>
        <v>19.100000000000001</v>
      </c>
      <c r="AK84" s="223">
        <f t="shared" si="191"/>
        <v>9.2099999999999937</v>
      </c>
      <c r="AL84" s="223">
        <f t="shared" si="191"/>
        <v>54.096000000000032</v>
      </c>
      <c r="AM84" s="223">
        <f t="shared" si="191"/>
        <v>11.099999999999989</v>
      </c>
      <c r="AN84" s="223">
        <f t="shared" si="191"/>
        <v>-60.200000000000038</v>
      </c>
      <c r="AO84" s="223">
        <f t="shared" si="191"/>
        <v>29.500000000000032</v>
      </c>
      <c r="AP84" s="223">
        <f t="shared" si="191"/>
        <v>33.590000000000003</v>
      </c>
      <c r="AQ84" s="223">
        <f t="shared" si="191"/>
        <v>39.222999999999999</v>
      </c>
      <c r="AR84" s="223">
        <f t="shared" si="191"/>
        <v>45.27</v>
      </c>
      <c r="AS84" s="223">
        <f t="shared" si="191"/>
        <v>45.850999999999999</v>
      </c>
      <c r="AT84" s="223">
        <f t="shared" si="191"/>
        <v>47.342999999999947</v>
      </c>
      <c r="AU84" s="223">
        <f t="shared" si="191"/>
        <v>32.58400000000001</v>
      </c>
      <c r="AV84" s="223">
        <f t="shared" si="191"/>
        <v>34.810999999999986</v>
      </c>
      <c r="BG84" s="223">
        <f>SUM(C84:F84)</f>
        <v>1.02</v>
      </c>
      <c r="BH84" s="223">
        <f>SUM(G84:J84)</f>
        <v>15.300000000000002</v>
      </c>
      <c r="BI84" s="223">
        <f>SUM(K84:N84)</f>
        <v>4.5999999999999996</v>
      </c>
      <c r="BJ84" s="223">
        <f>SUM(O84:R84)</f>
        <v>6.52</v>
      </c>
      <c r="BK84" s="223">
        <f t="shared" ref="BK84:BP84" si="192">BK39</f>
        <v>48.455999999999975</v>
      </c>
      <c r="BL84" s="223">
        <f t="shared" si="192"/>
        <v>-15.601999999999894</v>
      </c>
      <c r="BM84" s="223">
        <f t="shared" si="192"/>
        <v>5.2839999999999652</v>
      </c>
      <c r="BN84" s="223">
        <f t="shared" si="192"/>
        <v>-2.0019999999998928</v>
      </c>
      <c r="BO84" s="223">
        <f t="shared" si="192"/>
        <v>91.01</v>
      </c>
      <c r="BP84" s="223">
        <f t="shared" si="192"/>
        <v>13.989999999999876</v>
      </c>
      <c r="BQ84" s="223">
        <f t="shared" ref="BQ84:BQ89" si="193">SUM(AQ84:AT84)</f>
        <v>177.68699999999995</v>
      </c>
      <c r="CD84" s="208"/>
      <c r="CE84" s="208"/>
      <c r="CF84" s="208"/>
      <c r="CG84" s="209" t="s">
        <v>1911</v>
      </c>
    </row>
    <row r="85" spans="2:119" s="210" customFormat="1" ht="13.5" customHeight="1">
      <c r="B85" s="210" t="s">
        <v>481</v>
      </c>
      <c r="C85" s="206">
        <v>-2.7</v>
      </c>
      <c r="D85" s="206">
        <v>-5.6</v>
      </c>
      <c r="E85" s="206">
        <v>-4.3</v>
      </c>
      <c r="F85" s="206">
        <v>-8</v>
      </c>
      <c r="G85" s="206">
        <v>-2.1</v>
      </c>
      <c r="H85" s="206">
        <v>-6.1</v>
      </c>
      <c r="I85" s="206">
        <v>5.7</v>
      </c>
      <c r="J85" s="206">
        <v>-10.4</v>
      </c>
      <c r="K85" s="206">
        <v>2.2000000000000002</v>
      </c>
      <c r="L85" s="206">
        <v>0.6</v>
      </c>
      <c r="M85" s="206">
        <v>10.8</v>
      </c>
      <c r="N85" s="206">
        <v>-0.9</v>
      </c>
      <c r="O85" s="206">
        <v>10.7</v>
      </c>
      <c r="P85" s="206">
        <v>0.1</v>
      </c>
      <c r="Q85" s="206">
        <v>10.4</v>
      </c>
      <c r="R85" s="206">
        <v>7.5</v>
      </c>
      <c r="S85" s="206">
        <v>-2.1</v>
      </c>
      <c r="T85" s="206">
        <v>1.9</v>
      </c>
      <c r="U85" s="206">
        <v>22</v>
      </c>
      <c r="V85" s="206">
        <v>4.8</v>
      </c>
      <c r="W85" s="206">
        <v>-5.92</v>
      </c>
      <c r="X85" s="206">
        <f>-27.609-W85</f>
        <v>-21.689</v>
      </c>
      <c r="Y85" s="206">
        <f>-31.159-SUM(W85:X85)</f>
        <v>-3.5499999999999972</v>
      </c>
      <c r="Z85" s="206">
        <f>-33.242-SUM(W85:Y85)</f>
        <v>-2.0829999999999984</v>
      </c>
      <c r="AA85" s="206">
        <v>-14.368</v>
      </c>
      <c r="AB85" s="206">
        <f>-17.678-AA85</f>
        <v>-3.3100000000000005</v>
      </c>
      <c r="AC85" s="206">
        <f>18.772-SUM(AA85:AB85)</f>
        <v>36.450000000000003</v>
      </c>
      <c r="AD85" s="206">
        <f>9.502-SUM(AA85:AC85)</f>
        <v>-9.2700000000000014</v>
      </c>
      <c r="AE85" s="206">
        <v>-4.5140000000000002</v>
      </c>
      <c r="AF85" s="206">
        <f>-44.089-AE85</f>
        <v>-39.574999999999996</v>
      </c>
      <c r="AG85" s="206">
        <f>-56.998-SUM(AE85:AF85)</f>
        <v>-12.908999999999999</v>
      </c>
      <c r="AH85" s="206">
        <f>-55.661-SUM(AE85:AG85)</f>
        <v>1.3369999999999962</v>
      </c>
      <c r="AI85" s="206">
        <v>13.129</v>
      </c>
      <c r="AJ85" s="206">
        <f>30.228-AI85</f>
        <v>17.099000000000004</v>
      </c>
      <c r="AK85" s="206">
        <f>61.072-SUM(AI85:AJ85)</f>
        <v>30.844000000000001</v>
      </c>
      <c r="AL85" s="206">
        <f>97.333-SUM(AI85:AK85)</f>
        <v>36.260999999999996</v>
      </c>
      <c r="AM85" s="206">
        <v>38.295000000000002</v>
      </c>
      <c r="AN85" s="206">
        <f>60.906-AM85</f>
        <v>22.610999999999997</v>
      </c>
      <c r="AO85" s="206">
        <f>117.373-SUM(AM85:AN85)</f>
        <v>56.467000000000006</v>
      </c>
      <c r="AP85" s="206">
        <f>168.481-SUM(AM85:AO85)</f>
        <v>51.10799999999999</v>
      </c>
      <c r="AQ85" s="206">
        <f>48.97</f>
        <v>48.97</v>
      </c>
      <c r="AR85" s="206">
        <f>93.916-AQ85</f>
        <v>44.945999999999998</v>
      </c>
      <c r="AS85" s="206">
        <v>58.262999999999998</v>
      </c>
      <c r="AT85" s="206">
        <f>238.663-SUM(AQ85:AS85)</f>
        <v>86.484000000000009</v>
      </c>
      <c r="AU85" s="206">
        <v>86.97</v>
      </c>
      <c r="AV85" s="206">
        <v>46.084000000000003</v>
      </c>
      <c r="AW85" s="208"/>
      <c r="AX85" s="208"/>
      <c r="AY85" s="208"/>
      <c r="AZ85" s="208"/>
      <c r="BA85" s="208"/>
      <c r="BB85" s="208"/>
      <c r="BG85" s="223">
        <f>SUM(C85:F85)</f>
        <v>-20.6</v>
      </c>
      <c r="BH85" s="223">
        <f>SUM(G85:J85)</f>
        <v>-12.899999999999999</v>
      </c>
      <c r="BI85" s="223">
        <f>SUM(K85:N85)</f>
        <v>12.700000000000001</v>
      </c>
      <c r="BJ85" s="223">
        <f>SUM(O85:R85)</f>
        <v>28.7</v>
      </c>
      <c r="BK85" s="223">
        <v>26.652000000000001</v>
      </c>
      <c r="BL85" s="223">
        <f>SUM(W85:Z85)</f>
        <v>-33.241999999999997</v>
      </c>
      <c r="BM85" s="206">
        <f>SUM(AA85:AD85)</f>
        <v>9.5020000000000007</v>
      </c>
      <c r="BN85" s="206">
        <f>SUM(AE85:AH85)</f>
        <v>-55.661000000000001</v>
      </c>
      <c r="BO85" s="206">
        <f>SUM(AI85:AL85)</f>
        <v>97.332999999999998</v>
      </c>
      <c r="BP85" s="206">
        <f>SUM(AM85:AP85)</f>
        <v>168.48099999999999</v>
      </c>
      <c r="BQ85" s="206">
        <f t="shared" si="193"/>
        <v>238.66300000000001</v>
      </c>
      <c r="BR85" s="208"/>
      <c r="CH85" s="208" t="s">
        <v>1517</v>
      </c>
      <c r="CL85" s="209"/>
      <c r="CM85" s="209"/>
      <c r="CN85" s="209"/>
      <c r="CO85" s="209"/>
      <c r="CP85" s="209"/>
      <c r="CQ85" s="209"/>
      <c r="CR85" s="209"/>
      <c r="CS85" s="209"/>
      <c r="CT85" s="208"/>
      <c r="CU85" s="208"/>
      <c r="CV85" s="208"/>
      <c r="CW85" s="208"/>
      <c r="CX85" s="208"/>
      <c r="CY85" s="208"/>
      <c r="CZ85" s="208"/>
      <c r="DA85" s="208"/>
      <c r="DB85" s="208"/>
      <c r="DC85" s="208"/>
      <c r="DD85" s="208"/>
      <c r="DE85" s="208"/>
      <c r="DF85" s="208"/>
      <c r="DG85" s="208"/>
      <c r="DH85" s="208"/>
      <c r="DI85" s="208"/>
      <c r="DJ85" s="208"/>
      <c r="DK85" s="208"/>
      <c r="DL85" s="208"/>
      <c r="DM85" s="208"/>
      <c r="DN85" s="208"/>
      <c r="DO85" s="208"/>
    </row>
    <row r="86" spans="2:119" ht="13.5" customHeight="1">
      <c r="B86" s="204" t="s">
        <v>482</v>
      </c>
      <c r="C86" s="223">
        <v>-1.3</v>
      </c>
      <c r="D86" s="223">
        <v>-1.8</v>
      </c>
      <c r="E86" s="223">
        <v>-1.4</v>
      </c>
      <c r="F86" s="223">
        <v>-1</v>
      </c>
      <c r="G86" s="223">
        <v>-1.1000000000000001</v>
      </c>
      <c r="H86" s="223">
        <v>-2.6</v>
      </c>
      <c r="I86" s="223">
        <v>-3.4</v>
      </c>
      <c r="J86" s="223">
        <v>-6.6</v>
      </c>
      <c r="K86" s="223">
        <v>-3.2</v>
      </c>
      <c r="L86" s="223">
        <v>-2.2000000000000002</v>
      </c>
      <c r="M86" s="223">
        <v>-1.4</v>
      </c>
      <c r="N86" s="223">
        <v>-5.7</v>
      </c>
      <c r="O86" s="223">
        <v>-2.8</v>
      </c>
      <c r="P86" s="223">
        <v>-2.2999999999999998</v>
      </c>
      <c r="Q86" s="223">
        <v>-1.5</v>
      </c>
      <c r="R86" s="223">
        <v>-3</v>
      </c>
      <c r="S86" s="223">
        <v>-2.5</v>
      </c>
      <c r="T86" s="223">
        <v>-3.7</v>
      </c>
      <c r="U86" s="223">
        <v>-7.9</v>
      </c>
      <c r="V86" s="223">
        <v>-8</v>
      </c>
      <c r="W86" s="223">
        <v>-10.131</v>
      </c>
      <c r="X86" s="223">
        <f>-16.85-W86</f>
        <v>-6.7190000000000012</v>
      </c>
      <c r="Y86" s="223">
        <f>-21.003-SUM(W86:X86)</f>
        <v>-4.1529999999999987</v>
      </c>
      <c r="Z86" s="223">
        <f>-24.756-SUM(W86:Y86)</f>
        <v>-3.7530000000000001</v>
      </c>
      <c r="AA86" s="223">
        <v>-3.9910000000000001</v>
      </c>
      <c r="AB86" s="223">
        <f>-7.286-AA86</f>
        <v>-3.2949999999999995</v>
      </c>
      <c r="AC86" s="223">
        <f>-13.088-SUM(AA86:AB86)</f>
        <v>-5.8019999999999996</v>
      </c>
      <c r="AD86" s="223">
        <f>-21.18-SUM(AA86:AC86)</f>
        <v>-8.0920000000000005</v>
      </c>
      <c r="AE86" s="223">
        <v>-4.9569999999999999</v>
      </c>
      <c r="AF86" s="223">
        <f>-9.388-AE86</f>
        <v>-4.431</v>
      </c>
      <c r="AG86" s="223">
        <f>-15.736-SUM(AE86:AF86)</f>
        <v>-6.3480000000000008</v>
      </c>
      <c r="AH86" s="223">
        <f>-19.298-SUM(AE86:AG86)</f>
        <v>-3.5619999999999976</v>
      </c>
      <c r="AI86" s="223">
        <v>-3.8940000000000001</v>
      </c>
      <c r="AJ86" s="223">
        <f>-8.236-AI86</f>
        <v>-4.3420000000000005</v>
      </c>
      <c r="AK86" s="223">
        <f>-12.568-SUM(AI86:AJ86)</f>
        <v>-4.331999999999999</v>
      </c>
      <c r="AL86" s="223">
        <f>-16.213-SUM(AI86:AK86)</f>
        <v>-3.6450000000000014</v>
      </c>
      <c r="AM86" s="223">
        <v>-5.8239999999999998</v>
      </c>
      <c r="AN86" s="223">
        <f>-10.36-AM86</f>
        <v>-4.5359999999999996</v>
      </c>
      <c r="AO86" s="223">
        <f>-15.811-SUM(AM86:AN86)</f>
        <v>-5.4510000000000005</v>
      </c>
      <c r="AP86" s="223">
        <f>-21.182-SUM(AM86:AO86)</f>
        <v>-5.3709999999999987</v>
      </c>
      <c r="AQ86" s="223">
        <f>-13.467</f>
        <v>-13.467000000000001</v>
      </c>
      <c r="AR86" s="223">
        <f>-29.046-AQ86</f>
        <v>-15.578999999999999</v>
      </c>
      <c r="AS86" s="223">
        <v>-16.248999999999999</v>
      </c>
      <c r="AT86" s="223">
        <f>-63.729-SUM(AQ86:AS86)</f>
        <v>-18.433999999999997</v>
      </c>
      <c r="AU86" s="223">
        <v>-13.670999999999999</v>
      </c>
      <c r="AV86" s="223">
        <v>-13.542</v>
      </c>
      <c r="BG86" s="223">
        <f>SUM(C86:F86)</f>
        <v>-5.5</v>
      </c>
      <c r="BH86" s="223">
        <f>SUM(G86:J86)</f>
        <v>-13.7</v>
      </c>
      <c r="BI86" s="223">
        <f>SUM(K86:N86)</f>
        <v>-12.5</v>
      </c>
      <c r="BJ86" s="223">
        <f>SUM(O86:R86)</f>
        <v>-9.6</v>
      </c>
      <c r="BK86" s="223">
        <v>-22.109000000000002</v>
      </c>
      <c r="BL86" s="223">
        <f>SUM(W86:Z86)</f>
        <v>-24.756</v>
      </c>
      <c r="BM86" s="223">
        <f>SUM(AA86:AD86)</f>
        <v>-21.18</v>
      </c>
      <c r="BN86" s="223">
        <f>SUM(AE86:AH86)</f>
        <v>-19.297999999999998</v>
      </c>
      <c r="BO86" s="223">
        <f>SUM(AI86:AL86)</f>
        <v>-16.213000000000001</v>
      </c>
      <c r="BP86" s="223">
        <f>SUM(AM86:AP86)</f>
        <v>-21.181999999999999</v>
      </c>
      <c r="BQ86" s="223">
        <f t="shared" si="193"/>
        <v>-63.728999999999999</v>
      </c>
      <c r="CE86" s="209" t="s">
        <v>1699</v>
      </c>
      <c r="CI86" s="208"/>
      <c r="CJ86" s="208"/>
      <c r="CK86" s="208"/>
      <c r="CL86" s="210"/>
    </row>
    <row r="87" spans="2:119" s="210" customFormat="1" ht="13.5" customHeight="1">
      <c r="B87" s="210" t="s">
        <v>483</v>
      </c>
      <c r="C87" s="206">
        <f t="shared" ref="C87:AO87" si="194">C85+C86</f>
        <v>-4</v>
      </c>
      <c r="D87" s="206">
        <f t="shared" si="194"/>
        <v>-7.3999999999999995</v>
      </c>
      <c r="E87" s="206">
        <f t="shared" si="194"/>
        <v>-5.6999999999999993</v>
      </c>
      <c r="F87" s="206">
        <f t="shared" si="194"/>
        <v>-9</v>
      </c>
      <c r="G87" s="206">
        <f t="shared" si="194"/>
        <v>-3.2</v>
      </c>
      <c r="H87" s="206">
        <f t="shared" si="194"/>
        <v>-8.6999999999999993</v>
      </c>
      <c r="I87" s="206">
        <f t="shared" si="194"/>
        <v>2.3000000000000003</v>
      </c>
      <c r="J87" s="206">
        <f t="shared" si="194"/>
        <v>-17</v>
      </c>
      <c r="K87" s="206">
        <f t="shared" si="194"/>
        <v>-1</v>
      </c>
      <c r="L87" s="206">
        <f t="shared" si="194"/>
        <v>-1.6</v>
      </c>
      <c r="M87" s="206">
        <f t="shared" si="194"/>
        <v>9.4</v>
      </c>
      <c r="N87" s="206">
        <f t="shared" si="194"/>
        <v>-6.6000000000000005</v>
      </c>
      <c r="O87" s="206">
        <f t="shared" si="194"/>
        <v>7.8999999999999995</v>
      </c>
      <c r="P87" s="206">
        <f t="shared" si="194"/>
        <v>-2.1999999999999997</v>
      </c>
      <c r="Q87" s="206">
        <f t="shared" si="194"/>
        <v>8.9</v>
      </c>
      <c r="R87" s="206">
        <f t="shared" si="194"/>
        <v>4.5</v>
      </c>
      <c r="S87" s="206">
        <f t="shared" si="194"/>
        <v>-4.5999999999999996</v>
      </c>
      <c r="T87" s="206">
        <f t="shared" si="194"/>
        <v>-1.8000000000000003</v>
      </c>
      <c r="U87" s="206">
        <f t="shared" si="194"/>
        <v>14.1</v>
      </c>
      <c r="V87" s="206">
        <f t="shared" si="194"/>
        <v>-3.2</v>
      </c>
      <c r="W87" s="206">
        <f t="shared" si="194"/>
        <v>-16.051000000000002</v>
      </c>
      <c r="X87" s="206">
        <f t="shared" si="194"/>
        <v>-28.408000000000001</v>
      </c>
      <c r="Y87" s="206">
        <f t="shared" si="194"/>
        <v>-7.7029999999999959</v>
      </c>
      <c r="Z87" s="206">
        <f t="shared" si="194"/>
        <v>-5.8359999999999985</v>
      </c>
      <c r="AA87" s="206">
        <f t="shared" si="194"/>
        <v>-18.359000000000002</v>
      </c>
      <c r="AB87" s="206">
        <f t="shared" si="194"/>
        <v>-6.6050000000000004</v>
      </c>
      <c r="AC87" s="206">
        <f t="shared" si="194"/>
        <v>30.648000000000003</v>
      </c>
      <c r="AD87" s="206">
        <f t="shared" si="194"/>
        <v>-17.362000000000002</v>
      </c>
      <c r="AE87" s="206">
        <f t="shared" si="194"/>
        <v>-9.4710000000000001</v>
      </c>
      <c r="AF87" s="206">
        <f t="shared" si="194"/>
        <v>-44.005999999999993</v>
      </c>
      <c r="AG87" s="206">
        <f t="shared" si="194"/>
        <v>-19.256999999999998</v>
      </c>
      <c r="AH87" s="206">
        <f t="shared" si="194"/>
        <v>-2.2250000000000014</v>
      </c>
      <c r="AI87" s="206">
        <f t="shared" si="194"/>
        <v>9.2349999999999994</v>
      </c>
      <c r="AJ87" s="206">
        <f t="shared" si="194"/>
        <v>12.757000000000003</v>
      </c>
      <c r="AK87" s="206">
        <f t="shared" si="194"/>
        <v>26.512</v>
      </c>
      <c r="AL87" s="206">
        <f t="shared" si="194"/>
        <v>32.615999999999993</v>
      </c>
      <c r="AM87" s="206">
        <f t="shared" si="194"/>
        <v>32.471000000000004</v>
      </c>
      <c r="AN87" s="206">
        <f t="shared" si="194"/>
        <v>18.074999999999996</v>
      </c>
      <c r="AO87" s="206">
        <f t="shared" si="194"/>
        <v>51.016000000000005</v>
      </c>
      <c r="AP87" s="206">
        <f>AP85+AP86</f>
        <v>45.736999999999995</v>
      </c>
      <c r="AQ87" s="206">
        <f t="shared" ref="AQ87:AS87" si="195">AQ85+AQ86</f>
        <v>35.503</v>
      </c>
      <c r="AR87" s="206">
        <f t="shared" si="195"/>
        <v>29.366999999999997</v>
      </c>
      <c r="AS87" s="206">
        <f t="shared" si="195"/>
        <v>42.013999999999996</v>
      </c>
      <c r="AT87" s="206">
        <f>AT85+AT86</f>
        <v>68.050000000000011</v>
      </c>
      <c r="AU87" s="206">
        <f>AU85+AU86</f>
        <v>73.299000000000007</v>
      </c>
      <c r="AV87" s="206">
        <f>AV85+AV86</f>
        <v>32.542000000000002</v>
      </c>
      <c r="AW87" s="208"/>
      <c r="AX87" s="208"/>
      <c r="AY87" s="208"/>
      <c r="AZ87" s="208"/>
      <c r="BA87" s="208"/>
      <c r="BB87" s="208"/>
      <c r="BG87" s="206">
        <f t="shared" ref="BG87:BP87" si="196">BG85+BG86</f>
        <v>-26.1</v>
      </c>
      <c r="BH87" s="206">
        <f t="shared" si="196"/>
        <v>-26.599999999999998</v>
      </c>
      <c r="BI87" s="206">
        <f t="shared" si="196"/>
        <v>0.20000000000000107</v>
      </c>
      <c r="BJ87" s="206">
        <f t="shared" si="196"/>
        <v>19.100000000000001</v>
      </c>
      <c r="BK87" s="206">
        <f t="shared" si="196"/>
        <v>4.5429999999999993</v>
      </c>
      <c r="BL87" s="206">
        <f t="shared" si="196"/>
        <v>-57.997999999999998</v>
      </c>
      <c r="BM87" s="206">
        <f t="shared" si="196"/>
        <v>-11.677999999999999</v>
      </c>
      <c r="BN87" s="206">
        <f t="shared" si="196"/>
        <v>-74.959000000000003</v>
      </c>
      <c r="BO87" s="206">
        <f t="shared" si="196"/>
        <v>81.12</v>
      </c>
      <c r="BP87" s="206">
        <f t="shared" si="196"/>
        <v>147.29900000000001</v>
      </c>
      <c r="BQ87" s="206">
        <f t="shared" si="193"/>
        <v>174.93400000000003</v>
      </c>
      <c r="BR87" s="208"/>
      <c r="CD87" s="208"/>
      <c r="CE87" s="208"/>
      <c r="CF87" s="208" t="s">
        <v>585</v>
      </c>
      <c r="CG87" s="208"/>
      <c r="CH87" s="208"/>
      <c r="CI87" s="209"/>
      <c r="CJ87" s="209"/>
      <c r="CK87" s="209"/>
      <c r="CL87" s="208"/>
      <c r="CM87" s="209"/>
      <c r="CN87" s="209"/>
      <c r="CO87" s="209"/>
      <c r="CP87" s="209"/>
      <c r="CQ87" s="209"/>
      <c r="CR87" s="209"/>
      <c r="CS87" s="209"/>
      <c r="CT87" s="208"/>
      <c r="CU87" s="208"/>
      <c r="CV87" s="208"/>
      <c r="CW87" s="208"/>
      <c r="CX87" s="208"/>
      <c r="CY87" s="208"/>
      <c r="CZ87" s="208"/>
      <c r="DA87" s="208"/>
      <c r="DB87" s="208"/>
      <c r="DC87" s="208"/>
      <c r="DD87" s="208"/>
      <c r="DE87" s="208"/>
      <c r="DF87" s="208"/>
      <c r="DG87" s="208"/>
      <c r="DH87" s="208"/>
      <c r="DI87" s="208"/>
      <c r="DJ87" s="208"/>
      <c r="DK87" s="208"/>
      <c r="DL87" s="208"/>
      <c r="DM87" s="208"/>
      <c r="DN87" s="208"/>
      <c r="DO87" s="208"/>
    </row>
    <row r="88" spans="2:119" ht="13.5" customHeight="1">
      <c r="B88" s="204" t="s">
        <v>295</v>
      </c>
      <c r="C88" s="223">
        <f t="shared" ref="C88:AV88" si="197">C40</f>
        <v>5</v>
      </c>
      <c r="D88" s="223">
        <f t="shared" si="197"/>
        <v>5</v>
      </c>
      <c r="E88" s="223">
        <f t="shared" si="197"/>
        <v>8</v>
      </c>
      <c r="F88" s="223">
        <f t="shared" si="197"/>
        <v>12</v>
      </c>
      <c r="G88" s="223">
        <f t="shared" si="197"/>
        <v>30</v>
      </c>
      <c r="H88" s="223">
        <f t="shared" si="197"/>
        <v>30</v>
      </c>
      <c r="I88" s="223">
        <f t="shared" si="197"/>
        <v>31</v>
      </c>
      <c r="J88" s="223">
        <f t="shared" si="197"/>
        <v>30</v>
      </c>
      <c r="K88" s="223">
        <f t="shared" si="197"/>
        <v>32</v>
      </c>
      <c r="L88" s="223">
        <f t="shared" si="197"/>
        <v>33</v>
      </c>
      <c r="M88" s="223">
        <f t="shared" si="197"/>
        <v>33</v>
      </c>
      <c r="N88" s="223">
        <f t="shared" si="197"/>
        <v>33</v>
      </c>
      <c r="O88" s="223">
        <f t="shared" si="197"/>
        <v>34</v>
      </c>
      <c r="P88" s="223">
        <f t="shared" si="197"/>
        <v>34</v>
      </c>
      <c r="Q88" s="223">
        <f t="shared" si="197"/>
        <v>34</v>
      </c>
      <c r="R88" s="223">
        <f t="shared" si="197"/>
        <v>34</v>
      </c>
      <c r="S88" s="223">
        <f t="shared" si="197"/>
        <v>34.506999999999998</v>
      </c>
      <c r="T88" s="223">
        <f t="shared" si="197"/>
        <v>34.694000000000003</v>
      </c>
      <c r="U88" s="223">
        <f t="shared" si="197"/>
        <v>34.840000000000003</v>
      </c>
      <c r="V88" s="223">
        <f t="shared" si="197"/>
        <v>35</v>
      </c>
      <c r="W88" s="223">
        <f t="shared" si="197"/>
        <v>35</v>
      </c>
      <c r="X88" s="223">
        <f t="shared" si="197"/>
        <v>35.4</v>
      </c>
      <c r="Y88" s="223">
        <f t="shared" si="197"/>
        <v>36.207000000000001</v>
      </c>
      <c r="Z88" s="223">
        <f t="shared" si="197"/>
        <v>37.651000000000003</v>
      </c>
      <c r="AA88" s="223">
        <f t="shared" si="197"/>
        <v>36.454999999999998</v>
      </c>
      <c r="AB88" s="223">
        <f t="shared" si="197"/>
        <v>36.523000000000003</v>
      </c>
      <c r="AC88" s="223">
        <f t="shared" si="197"/>
        <v>36.616999999999997</v>
      </c>
      <c r="AD88" s="223">
        <f t="shared" si="197"/>
        <v>36.700000000000003</v>
      </c>
      <c r="AE88" s="223">
        <f t="shared" si="197"/>
        <v>37.646000000000001</v>
      </c>
      <c r="AF88" s="223">
        <f t="shared" si="197"/>
        <v>37.767000000000003</v>
      </c>
      <c r="AG88" s="223">
        <f t="shared" si="197"/>
        <v>37.917999999999999</v>
      </c>
      <c r="AH88" s="223">
        <f t="shared" si="197"/>
        <v>37.841000000000001</v>
      </c>
      <c r="AI88" s="223">
        <f t="shared" si="197"/>
        <v>39.07</v>
      </c>
      <c r="AJ88" s="223">
        <f t="shared" si="197"/>
        <v>38.15</v>
      </c>
      <c r="AK88" s="223">
        <f t="shared" si="197"/>
        <v>38.956000000000003</v>
      </c>
      <c r="AL88" s="223">
        <f t="shared" si="197"/>
        <v>38.4</v>
      </c>
      <c r="AM88" s="223">
        <f t="shared" si="197"/>
        <v>39.299999999999997</v>
      </c>
      <c r="AN88" s="223">
        <f t="shared" si="197"/>
        <v>38.799999999999997</v>
      </c>
      <c r="AO88" s="223">
        <f t="shared" si="197"/>
        <v>38.6</v>
      </c>
      <c r="AP88" s="223">
        <f t="shared" si="197"/>
        <v>38.630000000000003</v>
      </c>
      <c r="AQ88" s="223">
        <f t="shared" si="197"/>
        <v>38.561999999999998</v>
      </c>
      <c r="AR88" s="223">
        <f t="shared" si="197"/>
        <v>38.834000000000003</v>
      </c>
      <c r="AS88" s="223">
        <f t="shared" si="197"/>
        <v>39.078000000000003</v>
      </c>
      <c r="AT88" s="223">
        <f t="shared" si="197"/>
        <v>38.630000000000003</v>
      </c>
      <c r="AU88" s="223">
        <f t="shared" si="197"/>
        <v>39.274999999999999</v>
      </c>
      <c r="AV88" s="223">
        <f t="shared" si="197"/>
        <v>39.353000000000002</v>
      </c>
      <c r="BG88" s="223">
        <f t="shared" ref="BG88:BL88" si="198">BG40</f>
        <v>12</v>
      </c>
      <c r="BH88" s="223">
        <f t="shared" si="198"/>
        <v>31</v>
      </c>
      <c r="BI88" s="223">
        <f t="shared" si="198"/>
        <v>33</v>
      </c>
      <c r="BJ88" s="223">
        <f t="shared" si="198"/>
        <v>34</v>
      </c>
      <c r="BK88" s="223">
        <f t="shared" si="198"/>
        <v>34.799999999999997</v>
      </c>
      <c r="BL88" s="223">
        <f t="shared" si="198"/>
        <v>35.5</v>
      </c>
      <c r="BM88" s="223">
        <f>AD88</f>
        <v>36.700000000000003</v>
      </c>
      <c r="BN88" s="223">
        <f>AH88</f>
        <v>37.841000000000001</v>
      </c>
      <c r="BO88" s="223">
        <f>AL88</f>
        <v>38.4</v>
      </c>
      <c r="BP88" s="223">
        <f>AP88</f>
        <v>38.630000000000003</v>
      </c>
      <c r="BQ88" s="223">
        <f>AVERAGE(AQ88:AT88)</f>
        <v>38.776000000000003</v>
      </c>
      <c r="CD88" s="210"/>
      <c r="CE88" s="209" t="s">
        <v>1884</v>
      </c>
      <c r="CF88" s="210"/>
      <c r="CG88" s="210"/>
      <c r="CI88" s="208"/>
      <c r="CJ88" s="208"/>
      <c r="CK88" s="208"/>
    </row>
    <row r="89" spans="2:119" ht="13.5" customHeight="1">
      <c r="B89" s="204" t="s">
        <v>484</v>
      </c>
      <c r="C89" s="226">
        <f t="shared" ref="C89:AO89" si="199">C87/C88</f>
        <v>-0.8</v>
      </c>
      <c r="D89" s="226">
        <f t="shared" si="199"/>
        <v>-1.48</v>
      </c>
      <c r="E89" s="226">
        <f t="shared" si="199"/>
        <v>-0.71249999999999991</v>
      </c>
      <c r="F89" s="226">
        <f t="shared" si="199"/>
        <v>-0.75</v>
      </c>
      <c r="G89" s="226">
        <f t="shared" si="199"/>
        <v>-0.10666666666666667</v>
      </c>
      <c r="H89" s="226">
        <f t="shared" si="199"/>
        <v>-0.28999999999999998</v>
      </c>
      <c r="I89" s="226">
        <f t="shared" si="199"/>
        <v>7.4193548387096783E-2</v>
      </c>
      <c r="J89" s="226">
        <f t="shared" si="199"/>
        <v>-0.56666666666666665</v>
      </c>
      <c r="K89" s="226">
        <f t="shared" si="199"/>
        <v>-3.125E-2</v>
      </c>
      <c r="L89" s="226">
        <f t="shared" si="199"/>
        <v>-4.8484848484848485E-2</v>
      </c>
      <c r="M89" s="226">
        <f t="shared" si="199"/>
        <v>0.28484848484848485</v>
      </c>
      <c r="N89" s="226">
        <f t="shared" si="199"/>
        <v>-0.2</v>
      </c>
      <c r="O89" s="226">
        <f t="shared" si="199"/>
        <v>0.23235294117647057</v>
      </c>
      <c r="P89" s="226">
        <f t="shared" si="199"/>
        <v>-6.4705882352941169E-2</v>
      </c>
      <c r="Q89" s="226">
        <f t="shared" si="199"/>
        <v>0.26176470588235295</v>
      </c>
      <c r="R89" s="226">
        <f t="shared" si="199"/>
        <v>0.13235294117647059</v>
      </c>
      <c r="S89" s="226">
        <f t="shared" si="199"/>
        <v>-0.13330628568116615</v>
      </c>
      <c r="T89" s="226">
        <f t="shared" si="199"/>
        <v>-5.1882169827635903E-2</v>
      </c>
      <c r="U89" s="226">
        <f t="shared" si="199"/>
        <v>0.40470723306544198</v>
      </c>
      <c r="V89" s="226">
        <f t="shared" si="199"/>
        <v>-9.1428571428571428E-2</v>
      </c>
      <c r="W89" s="226">
        <f t="shared" si="199"/>
        <v>-0.45860000000000006</v>
      </c>
      <c r="X89" s="226">
        <f t="shared" si="199"/>
        <v>-0.80248587570621477</v>
      </c>
      <c r="Y89" s="226">
        <f t="shared" si="199"/>
        <v>-0.2127489159554781</v>
      </c>
      <c r="Z89" s="226">
        <f t="shared" si="199"/>
        <v>-0.15500252317335525</v>
      </c>
      <c r="AA89" s="226">
        <f t="shared" si="199"/>
        <v>-0.50360718694280626</v>
      </c>
      <c r="AB89" s="226">
        <f t="shared" si="199"/>
        <v>-0.18084494701968623</v>
      </c>
      <c r="AC89" s="226">
        <f t="shared" si="199"/>
        <v>0.83698828413032211</v>
      </c>
      <c r="AD89" s="226">
        <f t="shared" si="199"/>
        <v>-0.47307901907356947</v>
      </c>
      <c r="AE89" s="226">
        <f t="shared" si="199"/>
        <v>-0.25158051320193381</v>
      </c>
      <c r="AF89" s="226">
        <f t="shared" si="199"/>
        <v>-1.1651971297693751</v>
      </c>
      <c r="AG89" s="226">
        <f t="shared" si="199"/>
        <v>-0.50785906429664007</v>
      </c>
      <c r="AH89" s="226">
        <f t="shared" si="199"/>
        <v>-5.8798657540762703E-2</v>
      </c>
      <c r="AI89" s="226">
        <f t="shared" si="199"/>
        <v>0.23637061684156641</v>
      </c>
      <c r="AJ89" s="226">
        <f t="shared" si="199"/>
        <v>0.33439056356487556</v>
      </c>
      <c r="AK89" s="226">
        <f t="shared" si="199"/>
        <v>0.68056268610740323</v>
      </c>
      <c r="AL89" s="226">
        <f t="shared" si="199"/>
        <v>0.84937499999999988</v>
      </c>
      <c r="AM89" s="226">
        <f t="shared" si="199"/>
        <v>0.82623409669211212</v>
      </c>
      <c r="AN89" s="226">
        <f t="shared" si="199"/>
        <v>0.46585051546391743</v>
      </c>
      <c r="AO89" s="226">
        <f t="shared" si="199"/>
        <v>1.321658031088083</v>
      </c>
      <c r="AP89" s="226">
        <f>AP87/AP88</f>
        <v>1.1839761843127101</v>
      </c>
      <c r="AQ89" s="226">
        <f t="shared" ref="AQ89:AS89" si="200">AQ87/AQ88</f>
        <v>0.9206732015974276</v>
      </c>
      <c r="AR89" s="226">
        <f t="shared" si="200"/>
        <v>0.75621877736004517</v>
      </c>
      <c r="AS89" s="226">
        <f t="shared" si="200"/>
        <v>1.0751317877066378</v>
      </c>
      <c r="AT89" s="226">
        <f>AT87/AT88</f>
        <v>1.7615842609370957</v>
      </c>
      <c r="AU89" s="226">
        <f>AU87/AU88</f>
        <v>1.8663017186505413</v>
      </c>
      <c r="AV89" s="226">
        <f>AV87/AV88</f>
        <v>0.8269255202907021</v>
      </c>
      <c r="BG89" s="226">
        <f t="shared" ref="BG89:BO89" si="201">BG87/BG88</f>
        <v>-2.1750000000000003</v>
      </c>
      <c r="BH89" s="226">
        <f t="shared" si="201"/>
        <v>-0.85806451612903223</v>
      </c>
      <c r="BI89" s="226">
        <f t="shared" si="201"/>
        <v>6.0606060606060927E-3</v>
      </c>
      <c r="BJ89" s="226">
        <f t="shared" si="201"/>
        <v>0.56176470588235294</v>
      </c>
      <c r="BK89" s="226">
        <f t="shared" si="201"/>
        <v>0.13054597701149423</v>
      </c>
      <c r="BL89" s="226">
        <f t="shared" si="201"/>
        <v>-1.6337464788732394</v>
      </c>
      <c r="BM89" s="226">
        <f t="shared" si="201"/>
        <v>-0.31820163487738412</v>
      </c>
      <c r="BN89" s="226">
        <f t="shared" si="201"/>
        <v>-1.9808937395946196</v>
      </c>
      <c r="BO89" s="226">
        <f t="shared" si="201"/>
        <v>2.1125000000000003</v>
      </c>
      <c r="BP89" s="226">
        <f>BP87/BP88</f>
        <v>3.8130727413926997</v>
      </c>
      <c r="BQ89" s="226">
        <f t="shared" si="193"/>
        <v>4.5136080276012063</v>
      </c>
      <c r="CD89" s="208" t="s">
        <v>567</v>
      </c>
      <c r="CL89" s="208"/>
    </row>
    <row r="90" spans="2:119" ht="13.5" customHeight="1">
      <c r="CE90" s="209" t="s">
        <v>1700</v>
      </c>
    </row>
    <row r="91" spans="2:119" ht="13.5" customHeight="1">
      <c r="CE91" s="209" t="s">
        <v>1890</v>
      </c>
    </row>
    <row r="92" spans="2:119" ht="13.5" customHeight="1">
      <c r="CF92" s="209" t="s">
        <v>586</v>
      </c>
    </row>
    <row r="93" spans="2:119" ht="13.5" customHeight="1">
      <c r="CG93" s="209" t="s">
        <v>1876</v>
      </c>
    </row>
    <row r="94" spans="2:119" ht="13.5" customHeight="1">
      <c r="CG94" s="209" t="s">
        <v>1877</v>
      </c>
    </row>
    <row r="95" spans="2:119" ht="13.5" customHeight="1">
      <c r="CE95" s="209" t="s">
        <v>568</v>
      </c>
    </row>
    <row r="96" spans="2:119" ht="13.5" customHeight="1">
      <c r="CE96" s="209" t="s">
        <v>1701</v>
      </c>
    </row>
  </sheetData>
  <mergeCells count="1">
    <mergeCell ref="BZ65:CA65"/>
  </mergeCells>
  <conditionalFormatting sqref="BZ65:CA65">
    <cfRule type="colorScale" priority="1">
      <colorScale>
        <cfvo type="min"/>
        <cfvo type="percentile" val="50"/>
        <cfvo type="max"/>
        <color rgb="FFF8696B"/>
        <color rgb="FFFCFCFF"/>
        <color rgb="FF63BE7B"/>
      </colorScale>
    </cfRule>
    <cfRule type="containsText" dxfId="9" priority="2" operator="containsText" text="Strong Sell">
      <formula>NOT(ISERROR(SEARCH("Strong Sell",BZ65)))</formula>
    </cfRule>
    <cfRule type="containsText" dxfId="8" priority="3" operator="containsText" text="Sell">
      <formula>NOT(ISERROR(SEARCH("Sell",BZ65)))</formula>
    </cfRule>
    <cfRule type="containsText" dxfId="7" priority="4" operator="containsText" text="Hold">
      <formula>NOT(ISERROR(SEARCH("Hold",BZ65)))</formula>
    </cfRule>
    <cfRule type="beginsWith" dxfId="6" priority="5" operator="beginsWith" text="Buy">
      <formula>LEFT(BZ65,LEN("Buy"))="Buy"</formula>
    </cfRule>
    <cfRule type="beginsWith" dxfId="5" priority="6" operator="beginsWith" text="Strong">
      <formula>LEFT(BZ65,LEN("Strong"))="Strong"</formula>
    </cfRule>
  </conditionalFormatting>
  <pageMargins left="0.7" right="0.7" top="0.75" bottom="0.75" header="0.3" footer="0.3"/>
  <ignoredErrors>
    <ignoredError sqref="BG26:BJ39 BG85:BJ87" formulaRange="1"/>
    <ignoredError sqref="BK22" evalError="1"/>
    <ignoredError sqref="BK26:BK27 BK29:BK32" evalError="1" formulaRange="1"/>
    <ignoredError sqref="BK28:BP28 BR33 BK37:BP37 BL36:BN36 BK35:BP35 BL34:BP34 BL38:BP38 BM88:BP88 BK71:BP73 BK33:BP33" formula="1"/>
    <ignoredError sqref="BK38 BK34 BK36" evalError="1" formula="1" formulaRange="1"/>
  </ignoredErrors>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B6CC-B023-4B2C-A00D-8ECAA7AAE1F2}">
  <sheetPr>
    <tabColor rgb="FFFF8989"/>
  </sheetPr>
  <dimension ref="C1:DP101"/>
  <sheetViews>
    <sheetView topLeftCell="B1" zoomScale="85" zoomScaleNormal="85" workbookViewId="0">
      <pane xSplit="2" ySplit="3" topLeftCell="AP19" activePane="bottomRight" state="frozen"/>
      <selection activeCell="B1" sqref="B1"/>
      <selection pane="topRight" activeCell="C1" sqref="C1"/>
      <selection pane="bottomLeft" activeCell="B4" sqref="B4"/>
      <selection pane="bottomRight" activeCell="CB54" sqref="CB54"/>
    </sheetView>
  </sheetViews>
  <sheetFormatPr defaultColWidth="9.140625" defaultRowHeight="13.5" customHeight="1"/>
  <cols>
    <col min="1" max="2" width="3.140625" style="204" customWidth="1"/>
    <col min="3" max="3" width="37.28515625" style="204" customWidth="1"/>
    <col min="4" max="19" width="9" style="205" customWidth="1"/>
    <col min="20" max="23" width="9.28515625" style="204" bestFit="1" customWidth="1"/>
    <col min="24" max="24" width="10" style="204" bestFit="1" customWidth="1"/>
    <col min="25" max="31" width="9.42578125" style="204" bestFit="1" customWidth="1"/>
    <col min="32" max="32" width="9.42578125" style="204" customWidth="1"/>
    <col min="33" max="43" width="9.42578125" style="204" bestFit="1" customWidth="1"/>
    <col min="44" max="45" width="9.140625" style="210"/>
    <col min="46" max="46" width="9.140625" style="208"/>
    <col min="47" max="49" width="9.140625" style="210"/>
    <col min="50" max="55" width="9.140625" style="208"/>
    <col min="56" max="63" width="9.140625" style="204"/>
    <col min="64" max="69" width="9.28515625" style="204" bestFit="1" customWidth="1"/>
    <col min="70" max="70" width="9.28515625" style="204" customWidth="1"/>
    <col min="71" max="120" width="9.140625" style="209"/>
    <col min="121" max="16384" width="9.140625" style="204"/>
  </cols>
  <sheetData>
    <row r="1" spans="3:120" ht="13.5" customHeight="1">
      <c r="T1" s="206" t="s">
        <v>1489</v>
      </c>
      <c r="X1" s="207" t="s">
        <v>1485</v>
      </c>
      <c r="AB1" s="207" t="s">
        <v>1481</v>
      </c>
      <c r="AF1" s="207" t="s">
        <v>1477</v>
      </c>
      <c r="AJ1" s="207" t="s">
        <v>1473</v>
      </c>
      <c r="AN1" s="207" t="s">
        <v>1469</v>
      </c>
      <c r="AR1" s="207" t="s">
        <v>1465</v>
      </c>
      <c r="AS1" s="207"/>
      <c r="AT1" s="204"/>
      <c r="AV1" s="207" t="s">
        <v>1493</v>
      </c>
    </row>
    <row r="2" spans="3:120" ht="13.5" customHeight="1">
      <c r="C2" s="204" t="s">
        <v>272</v>
      </c>
      <c r="D2" s="204" t="s">
        <v>268</v>
      </c>
      <c r="E2" s="204" t="s">
        <v>269</v>
      </c>
      <c r="F2" s="204" t="s">
        <v>270</v>
      </c>
      <c r="G2" s="204" t="s">
        <v>271</v>
      </c>
      <c r="H2" s="204" t="s">
        <v>268</v>
      </c>
      <c r="I2" s="204" t="s">
        <v>269</v>
      </c>
      <c r="J2" s="204" t="s">
        <v>270</v>
      </c>
      <c r="K2" s="204" t="s">
        <v>271</v>
      </c>
      <c r="L2" s="204" t="s">
        <v>268</v>
      </c>
      <c r="M2" s="204" t="s">
        <v>269</v>
      </c>
      <c r="N2" s="204" t="s">
        <v>270</v>
      </c>
      <c r="O2" s="204" t="s">
        <v>271</v>
      </c>
      <c r="P2" s="204" t="s">
        <v>268</v>
      </c>
      <c r="Q2" s="204" t="s">
        <v>269</v>
      </c>
      <c r="R2" s="204" t="s">
        <v>270</v>
      </c>
      <c r="S2" s="204" t="s">
        <v>271</v>
      </c>
      <c r="T2" s="204" t="s">
        <v>268</v>
      </c>
      <c r="U2" s="204" t="s">
        <v>269</v>
      </c>
      <c r="V2" s="204" t="s">
        <v>270</v>
      </c>
      <c r="W2" s="204" t="s">
        <v>271</v>
      </c>
      <c r="X2" s="204" t="s">
        <v>268</v>
      </c>
      <c r="Y2" s="204" t="s">
        <v>269</v>
      </c>
      <c r="Z2" s="204" t="s">
        <v>270</v>
      </c>
      <c r="AA2" s="204" t="s">
        <v>271</v>
      </c>
      <c r="AB2" s="204" t="s">
        <v>268</v>
      </c>
      <c r="AC2" s="204" t="s">
        <v>269</v>
      </c>
      <c r="AD2" s="204" t="s">
        <v>270</v>
      </c>
      <c r="AE2" s="204" t="s">
        <v>271</v>
      </c>
      <c r="AF2" s="204" t="s">
        <v>268</v>
      </c>
      <c r="AG2" s="204" t="s">
        <v>269</v>
      </c>
      <c r="AH2" s="204" t="s">
        <v>270</v>
      </c>
      <c r="AI2" s="204" t="s">
        <v>271</v>
      </c>
      <c r="AJ2" s="204" t="s">
        <v>268</v>
      </c>
      <c r="AK2" s="204" t="s">
        <v>269</v>
      </c>
      <c r="AL2" s="204" t="s">
        <v>270</v>
      </c>
      <c r="AM2" s="204" t="s">
        <v>271</v>
      </c>
      <c r="AN2" s="204" t="s">
        <v>268</v>
      </c>
      <c r="AO2" s="204" t="s">
        <v>269</v>
      </c>
      <c r="AP2" s="204" t="s">
        <v>270</v>
      </c>
      <c r="AQ2" s="204" t="s">
        <v>271</v>
      </c>
      <c r="AR2" s="204" t="s">
        <v>268</v>
      </c>
      <c r="AS2" s="204" t="s">
        <v>269</v>
      </c>
      <c r="AT2" s="2" t="s">
        <v>270</v>
      </c>
      <c r="AU2" s="204" t="s">
        <v>271</v>
      </c>
      <c r="AV2" s="204" t="s">
        <v>268</v>
      </c>
      <c r="AW2" s="204" t="s">
        <v>269</v>
      </c>
      <c r="AX2" s="209" t="s">
        <v>270</v>
      </c>
      <c r="AY2" s="209" t="s">
        <v>271</v>
      </c>
      <c r="AZ2" s="209" t="s">
        <v>268</v>
      </c>
      <c r="BA2" s="209" t="s">
        <v>269</v>
      </c>
      <c r="BB2" s="209" t="s">
        <v>270</v>
      </c>
      <c r="BC2" s="209" t="s">
        <v>271</v>
      </c>
    </row>
    <row r="3" spans="3:120" ht="13.5" customHeight="1">
      <c r="C3" s="210" t="s">
        <v>273</v>
      </c>
      <c r="D3" s="206" t="s">
        <v>1464</v>
      </c>
      <c r="E3" s="206" t="s">
        <v>1463</v>
      </c>
      <c r="F3" s="206" t="s">
        <v>1462</v>
      </c>
      <c r="G3" s="206" t="s">
        <v>1461</v>
      </c>
      <c r="H3" s="206" t="s">
        <v>1460</v>
      </c>
      <c r="I3" s="206" t="s">
        <v>1459</v>
      </c>
      <c r="J3" s="206" t="s">
        <v>1458</v>
      </c>
      <c r="K3" s="206" t="s">
        <v>1457</v>
      </c>
      <c r="L3" s="206" t="s">
        <v>1456</v>
      </c>
      <c r="M3" s="206" t="s">
        <v>1455</v>
      </c>
      <c r="N3" s="206" t="s">
        <v>1454</v>
      </c>
      <c r="O3" s="206" t="s">
        <v>1453</v>
      </c>
      <c r="P3" s="206" t="s">
        <v>1452</v>
      </c>
      <c r="Q3" s="206" t="s">
        <v>1451</v>
      </c>
      <c r="R3" s="206" t="s">
        <v>1450</v>
      </c>
      <c r="S3" s="206" t="s">
        <v>1449</v>
      </c>
      <c r="T3" s="206" t="s">
        <v>1489</v>
      </c>
      <c r="U3" s="206" t="s">
        <v>1488</v>
      </c>
      <c r="V3" s="206" t="s">
        <v>1487</v>
      </c>
      <c r="W3" s="206" t="s">
        <v>1486</v>
      </c>
      <c r="X3" s="206" t="s">
        <v>1485</v>
      </c>
      <c r="Y3" s="206" t="s">
        <v>1484</v>
      </c>
      <c r="Z3" s="206" t="s">
        <v>1483</v>
      </c>
      <c r="AA3" s="206" t="s">
        <v>1482</v>
      </c>
      <c r="AB3" s="206" t="s">
        <v>1481</v>
      </c>
      <c r="AC3" s="206" t="s">
        <v>1480</v>
      </c>
      <c r="AD3" s="206" t="s">
        <v>1479</v>
      </c>
      <c r="AE3" s="206" t="s">
        <v>1478</v>
      </c>
      <c r="AF3" s="206" t="s">
        <v>1477</v>
      </c>
      <c r="AG3" s="206" t="s">
        <v>1476</v>
      </c>
      <c r="AH3" s="206" t="s">
        <v>1475</v>
      </c>
      <c r="AI3" s="206" t="s">
        <v>1474</v>
      </c>
      <c r="AJ3" s="206" t="s">
        <v>1473</v>
      </c>
      <c r="AK3" s="206" t="s">
        <v>1472</v>
      </c>
      <c r="AL3" s="206" t="s">
        <v>1471</v>
      </c>
      <c r="AM3" s="206" t="s">
        <v>1470</v>
      </c>
      <c r="AN3" s="206" t="s">
        <v>1469</v>
      </c>
      <c r="AO3" s="206" t="s">
        <v>1468</v>
      </c>
      <c r="AP3" s="206" t="s">
        <v>1467</v>
      </c>
      <c r="AQ3" s="206" t="s">
        <v>1466</v>
      </c>
      <c r="AR3" s="206" t="s">
        <v>1465</v>
      </c>
      <c r="AS3" s="206" t="s">
        <v>1490</v>
      </c>
      <c r="AT3" s="210" t="s">
        <v>1491</v>
      </c>
      <c r="AU3" s="210" t="s">
        <v>1492</v>
      </c>
      <c r="AV3" s="210" t="s">
        <v>1493</v>
      </c>
      <c r="AW3" s="210" t="s">
        <v>1494</v>
      </c>
      <c r="AX3" s="208" t="s">
        <v>1495</v>
      </c>
      <c r="AY3" s="208" t="s">
        <v>1496</v>
      </c>
      <c r="AZ3" s="208" t="s">
        <v>1497</v>
      </c>
      <c r="BA3" s="208" t="s">
        <v>1498</v>
      </c>
      <c r="BB3" s="208" t="s">
        <v>1499</v>
      </c>
      <c r="BC3" s="208" t="s">
        <v>1500</v>
      </c>
      <c r="BH3" s="210">
        <v>2015</v>
      </c>
      <c r="BI3" s="210">
        <v>2016</v>
      </c>
      <c r="BJ3" s="210">
        <v>2017</v>
      </c>
      <c r="BK3" s="210">
        <v>2018</v>
      </c>
      <c r="BL3" s="210">
        <v>2019</v>
      </c>
      <c r="BM3" s="210">
        <v>2020</v>
      </c>
      <c r="BN3" s="210">
        <v>2021</v>
      </c>
      <c r="BO3" s="210">
        <v>2022</v>
      </c>
      <c r="BP3" s="210">
        <f t="shared" ref="BP3:DP3" si="0">BO3+1</f>
        <v>2023</v>
      </c>
      <c r="BQ3" s="210">
        <f t="shared" si="0"/>
        <v>2024</v>
      </c>
      <c r="BR3" s="210">
        <f t="shared" si="0"/>
        <v>2025</v>
      </c>
      <c r="BS3" s="208">
        <f>BQ3+1</f>
        <v>2025</v>
      </c>
      <c r="BT3" s="208">
        <f t="shared" si="0"/>
        <v>2026</v>
      </c>
      <c r="BU3" s="208">
        <f t="shared" si="0"/>
        <v>2027</v>
      </c>
      <c r="BV3" s="208">
        <f t="shared" si="0"/>
        <v>2028</v>
      </c>
      <c r="BW3" s="208">
        <f t="shared" si="0"/>
        <v>2029</v>
      </c>
      <c r="BX3" s="208">
        <f t="shared" si="0"/>
        <v>2030</v>
      </c>
      <c r="BY3" s="208">
        <f t="shared" si="0"/>
        <v>2031</v>
      </c>
      <c r="BZ3" s="208">
        <f t="shared" si="0"/>
        <v>2032</v>
      </c>
      <c r="CA3" s="208">
        <f t="shared" si="0"/>
        <v>2033</v>
      </c>
      <c r="CB3" s="208">
        <f t="shared" si="0"/>
        <v>2034</v>
      </c>
      <c r="CC3" s="208">
        <f t="shared" si="0"/>
        <v>2035</v>
      </c>
      <c r="CD3" s="208">
        <f t="shared" si="0"/>
        <v>2036</v>
      </c>
      <c r="CE3" s="208">
        <f t="shared" si="0"/>
        <v>2037</v>
      </c>
      <c r="CF3" s="208">
        <f t="shared" si="0"/>
        <v>2038</v>
      </c>
      <c r="CG3" s="208">
        <f t="shared" si="0"/>
        <v>2039</v>
      </c>
      <c r="CH3" s="208">
        <f t="shared" si="0"/>
        <v>2040</v>
      </c>
      <c r="CI3" s="208">
        <f t="shared" si="0"/>
        <v>2041</v>
      </c>
      <c r="CJ3" s="208">
        <f t="shared" si="0"/>
        <v>2042</v>
      </c>
      <c r="CK3" s="208">
        <f t="shared" si="0"/>
        <v>2043</v>
      </c>
      <c r="CL3" s="208">
        <f t="shared" si="0"/>
        <v>2044</v>
      </c>
      <c r="CM3" s="208">
        <f t="shared" si="0"/>
        <v>2045</v>
      </c>
      <c r="CN3" s="208">
        <f t="shared" si="0"/>
        <v>2046</v>
      </c>
      <c r="CO3" s="208">
        <f t="shared" si="0"/>
        <v>2047</v>
      </c>
      <c r="CP3" s="208">
        <f t="shared" si="0"/>
        <v>2048</v>
      </c>
      <c r="CQ3" s="208">
        <f t="shared" si="0"/>
        <v>2049</v>
      </c>
      <c r="CR3" s="208">
        <f t="shared" si="0"/>
        <v>2050</v>
      </c>
      <c r="CS3" s="208">
        <f t="shared" si="0"/>
        <v>2051</v>
      </c>
      <c r="CT3" s="208">
        <f t="shared" si="0"/>
        <v>2052</v>
      </c>
      <c r="CU3" s="208">
        <f t="shared" si="0"/>
        <v>2053</v>
      </c>
      <c r="CV3" s="208">
        <f t="shared" si="0"/>
        <v>2054</v>
      </c>
      <c r="CW3" s="208">
        <f t="shared" si="0"/>
        <v>2055</v>
      </c>
      <c r="CX3" s="208">
        <f t="shared" si="0"/>
        <v>2056</v>
      </c>
      <c r="CY3" s="208">
        <f t="shared" si="0"/>
        <v>2057</v>
      </c>
      <c r="CZ3" s="208">
        <f t="shared" si="0"/>
        <v>2058</v>
      </c>
      <c r="DA3" s="208">
        <f t="shared" si="0"/>
        <v>2059</v>
      </c>
      <c r="DB3" s="208">
        <f t="shared" si="0"/>
        <v>2060</v>
      </c>
      <c r="DC3" s="208">
        <f t="shared" si="0"/>
        <v>2061</v>
      </c>
      <c r="DD3" s="208">
        <f t="shared" si="0"/>
        <v>2062</v>
      </c>
      <c r="DE3" s="208">
        <f t="shared" si="0"/>
        <v>2063</v>
      </c>
      <c r="DF3" s="208">
        <f t="shared" si="0"/>
        <v>2064</v>
      </c>
      <c r="DG3" s="208">
        <f t="shared" si="0"/>
        <v>2065</v>
      </c>
      <c r="DH3" s="208">
        <f t="shared" si="0"/>
        <v>2066</v>
      </c>
      <c r="DI3" s="208">
        <f t="shared" si="0"/>
        <v>2067</v>
      </c>
      <c r="DJ3" s="208">
        <f t="shared" si="0"/>
        <v>2068</v>
      </c>
      <c r="DK3" s="208">
        <f t="shared" si="0"/>
        <v>2069</v>
      </c>
      <c r="DL3" s="208">
        <f t="shared" si="0"/>
        <v>2070</v>
      </c>
      <c r="DM3" s="208">
        <f t="shared" si="0"/>
        <v>2071</v>
      </c>
      <c r="DN3" s="208">
        <f t="shared" si="0"/>
        <v>2072</v>
      </c>
      <c r="DO3" s="208">
        <f t="shared" si="0"/>
        <v>2073</v>
      </c>
      <c r="DP3" s="208">
        <f t="shared" si="0"/>
        <v>2074</v>
      </c>
    </row>
    <row r="4" spans="3:120" ht="13.5" customHeight="1">
      <c r="C4" s="203" t="s">
        <v>1621</v>
      </c>
      <c r="AJ4" s="204">
        <v>145</v>
      </c>
      <c r="AK4" s="204">
        <v>162</v>
      </c>
      <c r="AL4" s="204">
        <v>179</v>
      </c>
      <c r="AM4" s="211">
        <f>677-SUM(AJ4:AL4)</f>
        <v>191</v>
      </c>
      <c r="AN4" s="204">
        <v>188</v>
      </c>
      <c r="AO4" s="204">
        <v>203</v>
      </c>
      <c r="AP4" s="204">
        <v>204</v>
      </c>
      <c r="AQ4" s="211">
        <f>815-SUM(AN4:AP4)</f>
        <v>220</v>
      </c>
      <c r="AR4" s="211">
        <v>226.54400000000001</v>
      </c>
      <c r="AS4" s="211">
        <v>230.256</v>
      </c>
      <c r="AT4" s="211">
        <v>236.4</v>
      </c>
      <c r="AU4" s="211">
        <f>947.918-SUM(AR4:AT4)</f>
        <v>254.71799999999996</v>
      </c>
      <c r="AV4" s="211">
        <v>253.917</v>
      </c>
      <c r="AW4" s="211">
        <v>258.98099999999999</v>
      </c>
      <c r="BP4" s="204">
        <f>SUM(AJ4:AM4)</f>
        <v>677</v>
      </c>
      <c r="BQ4" s="204">
        <f>SUM(AN4:AQ4)</f>
        <v>815</v>
      </c>
      <c r="BR4" s="211">
        <f>SUM(AR4:AU4)</f>
        <v>947.91800000000001</v>
      </c>
      <c r="BS4" s="212">
        <f t="shared" ref="BS4:CB4" si="1">BR4*(1+BS8)</f>
        <v>1109.0640599999999</v>
      </c>
      <c r="BT4" s="212">
        <f t="shared" si="1"/>
        <v>1286.5143095999999</v>
      </c>
      <c r="BU4" s="212">
        <f t="shared" si="1"/>
        <v>1479.4914560399998</v>
      </c>
      <c r="BV4" s="212">
        <f t="shared" si="1"/>
        <v>1671.8253453251996</v>
      </c>
      <c r="BW4" s="212">
        <f t="shared" si="1"/>
        <v>1872.4443867642237</v>
      </c>
      <c r="BX4" s="212">
        <f t="shared" si="1"/>
        <v>2078.4132693082884</v>
      </c>
      <c r="BY4" s="212">
        <f t="shared" si="1"/>
        <v>2275.8625298925758</v>
      </c>
      <c r="BZ4" s="212">
        <f t="shared" si="1"/>
        <v>2457.9315322839821</v>
      </c>
      <c r="CA4" s="212">
        <f t="shared" si="1"/>
        <v>2642.2763972052808</v>
      </c>
      <c r="CB4" s="212">
        <f t="shared" si="1"/>
        <v>2827.2357450096506</v>
      </c>
    </row>
    <row r="5" spans="3:120" ht="13.5" customHeight="1">
      <c r="C5" s="203" t="s">
        <v>1622</v>
      </c>
      <c r="AJ5" s="204">
        <v>96</v>
      </c>
      <c r="AK5" s="204">
        <v>99</v>
      </c>
      <c r="AL5" s="204">
        <v>92</v>
      </c>
      <c r="AM5" s="211">
        <f>381-SUM(AJ5:AL5)</f>
        <v>94</v>
      </c>
      <c r="AN5" s="204">
        <v>91</v>
      </c>
      <c r="AO5" s="204">
        <v>96</v>
      </c>
      <c r="AP5" s="211">
        <v>96.89</v>
      </c>
      <c r="AQ5" s="211">
        <f>379-SUM(AN5:AP5)</f>
        <v>95.110000000000014</v>
      </c>
      <c r="AR5" s="211">
        <v>97.596000000000004</v>
      </c>
      <c r="AS5" s="211">
        <v>109.199</v>
      </c>
      <c r="AT5" s="211">
        <v>118.3</v>
      </c>
      <c r="AU5" s="211">
        <f>455.747-SUM(AR5:AT5)</f>
        <v>130.65199999999999</v>
      </c>
      <c r="AV5" s="211">
        <v>120.84099999999999</v>
      </c>
      <c r="AW5" s="211">
        <v>131.065</v>
      </c>
      <c r="BP5" s="204">
        <f>SUM(AJ5:AM5)</f>
        <v>381</v>
      </c>
      <c r="BQ5" s="204">
        <f>SUM(AN5:AQ5)</f>
        <v>379</v>
      </c>
      <c r="BR5" s="211">
        <f>SUM(AR5:AU5)</f>
        <v>455.74700000000001</v>
      </c>
      <c r="BS5" s="212">
        <f t="shared" ref="BS5:CB5" si="2">BR5*(1+BS9)</f>
        <v>514.99410999999998</v>
      </c>
      <c r="BT5" s="212">
        <f t="shared" si="2"/>
        <v>561.34357990000001</v>
      </c>
      <c r="BU5" s="212">
        <f t="shared" si="2"/>
        <v>603.44434839249993</v>
      </c>
      <c r="BV5" s="212">
        <f t="shared" si="2"/>
        <v>639.65100929605001</v>
      </c>
      <c r="BW5" s="212">
        <f t="shared" si="2"/>
        <v>668.43530471437225</v>
      </c>
      <c r="BX5" s="212">
        <f t="shared" si="2"/>
        <v>691.83054037937518</v>
      </c>
      <c r="BY5" s="212">
        <f t="shared" si="2"/>
        <v>712.58545659075651</v>
      </c>
      <c r="BZ5" s="212">
        <f t="shared" si="2"/>
        <v>730.40009300552538</v>
      </c>
      <c r="CA5" s="212">
        <f t="shared" si="2"/>
        <v>745.00809486563594</v>
      </c>
      <c r="CB5" s="212">
        <f t="shared" si="2"/>
        <v>756.18321628862043</v>
      </c>
    </row>
    <row r="6" spans="3:120" s="210" customFormat="1" ht="13.5" customHeight="1">
      <c r="C6" s="210" t="s">
        <v>275</v>
      </c>
      <c r="D6" s="213"/>
      <c r="E6" s="213"/>
      <c r="F6" s="213"/>
      <c r="G6" s="213"/>
      <c r="H6" s="213"/>
      <c r="I6" s="213"/>
      <c r="J6" s="213"/>
      <c r="K6" s="213"/>
      <c r="L6" s="213"/>
      <c r="M6" s="213"/>
      <c r="N6" s="213"/>
      <c r="O6" s="213"/>
      <c r="P6" s="213"/>
      <c r="Q6" s="213"/>
      <c r="R6" s="213"/>
      <c r="S6" s="213"/>
      <c r="AF6" s="214"/>
      <c r="AG6" s="214"/>
      <c r="AH6" s="214"/>
      <c r="AI6" s="214"/>
      <c r="AJ6" s="210">
        <f t="shared" ref="AJ6:AO6" si="3">SUM(AJ4:AJ5)</f>
        <v>241</v>
      </c>
      <c r="AK6" s="210">
        <f t="shared" si="3"/>
        <v>261</v>
      </c>
      <c r="AL6" s="210">
        <f t="shared" si="3"/>
        <v>271</v>
      </c>
      <c r="AM6" s="210">
        <f t="shared" si="3"/>
        <v>285</v>
      </c>
      <c r="AN6" s="210">
        <f t="shared" si="3"/>
        <v>279</v>
      </c>
      <c r="AO6" s="210">
        <f t="shared" si="3"/>
        <v>299</v>
      </c>
      <c r="AP6" s="214">
        <f t="shared" ref="AP6:AU6" si="4">SUM(AP4:AP5)</f>
        <v>300.89</v>
      </c>
      <c r="AQ6" s="214">
        <f t="shared" si="4"/>
        <v>315.11</v>
      </c>
      <c r="AR6" s="214">
        <f t="shared" si="4"/>
        <v>324.14</v>
      </c>
      <c r="AS6" s="214">
        <f t="shared" si="4"/>
        <v>339.45499999999998</v>
      </c>
      <c r="AT6" s="214">
        <f t="shared" si="4"/>
        <v>354.7</v>
      </c>
      <c r="AU6" s="214">
        <f t="shared" si="4"/>
        <v>385.36999999999995</v>
      </c>
      <c r="AV6" s="214">
        <f t="shared" ref="AV6:AW6" si="5">AV4+AV5</f>
        <v>374.75799999999998</v>
      </c>
      <c r="AW6" s="214">
        <f t="shared" si="5"/>
        <v>390.04599999999999</v>
      </c>
      <c r="AX6" s="208"/>
      <c r="AY6" s="208"/>
      <c r="AZ6" s="208"/>
      <c r="BA6" s="208"/>
      <c r="BB6" s="208"/>
      <c r="BC6" s="208"/>
      <c r="BP6" s="210">
        <f>BP4+BP5</f>
        <v>1058</v>
      </c>
      <c r="BQ6" s="210">
        <f>BQ4+BQ5</f>
        <v>1194</v>
      </c>
      <c r="BR6" s="214">
        <f>SUM(AR6:AU6)</f>
        <v>1403.665</v>
      </c>
      <c r="BS6" s="215">
        <f t="shared" ref="BS6" si="6">BS4+BS5</f>
        <v>1624.0581699999998</v>
      </c>
      <c r="BT6" s="215">
        <f t="shared" ref="BT6:CB6" si="7">BT4+BT5</f>
        <v>1847.8578895000001</v>
      </c>
      <c r="BU6" s="215">
        <f t="shared" si="7"/>
        <v>2082.9358044324999</v>
      </c>
      <c r="BV6" s="215">
        <f t="shared" si="7"/>
        <v>2311.4763546212498</v>
      </c>
      <c r="BW6" s="215">
        <f t="shared" si="7"/>
        <v>2540.8796914785962</v>
      </c>
      <c r="BX6" s="215">
        <f t="shared" si="7"/>
        <v>2770.2438096876635</v>
      </c>
      <c r="BY6" s="215">
        <f t="shared" si="7"/>
        <v>2988.4479864833324</v>
      </c>
      <c r="BZ6" s="215">
        <f t="shared" si="7"/>
        <v>3188.3316252895074</v>
      </c>
      <c r="CA6" s="215">
        <f t="shared" si="7"/>
        <v>3387.2844920709167</v>
      </c>
      <c r="CB6" s="215">
        <f t="shared" si="7"/>
        <v>3583.4189612982709</v>
      </c>
      <c r="CC6" s="208"/>
      <c r="CD6" s="208"/>
      <c r="CE6" s="208"/>
      <c r="CF6" s="208"/>
      <c r="CG6" s="208"/>
      <c r="CH6" s="208"/>
      <c r="CI6" s="208"/>
      <c r="CJ6" s="208"/>
      <c r="CK6" s="208"/>
      <c r="CL6" s="208"/>
      <c r="CM6" s="208"/>
      <c r="CN6" s="208"/>
      <c r="CO6" s="208"/>
      <c r="CP6" s="208"/>
      <c r="CQ6" s="208"/>
      <c r="CR6" s="208"/>
      <c r="CS6" s="208"/>
      <c r="CT6" s="208"/>
      <c r="CU6" s="208"/>
      <c r="CV6" s="208"/>
      <c r="CW6" s="208"/>
      <c r="CX6" s="208"/>
      <c r="CY6" s="208"/>
      <c r="CZ6" s="208"/>
      <c r="DA6" s="208"/>
      <c r="DB6" s="208"/>
      <c r="DC6" s="208"/>
      <c r="DD6" s="208"/>
      <c r="DE6" s="208"/>
      <c r="DF6" s="208"/>
      <c r="DG6" s="208"/>
      <c r="DH6" s="208"/>
      <c r="DI6" s="208"/>
      <c r="DJ6" s="208"/>
      <c r="DK6" s="208"/>
      <c r="DL6" s="208"/>
      <c r="DM6" s="208"/>
      <c r="DN6" s="208"/>
      <c r="DO6" s="208"/>
      <c r="DP6" s="208"/>
    </row>
    <row r="7" spans="3:120" ht="13.5" customHeight="1">
      <c r="AR7" s="204"/>
      <c r="AS7" s="204"/>
      <c r="AT7" s="210"/>
      <c r="AU7" s="204"/>
    </row>
    <row r="8" spans="3:120" ht="13.5" customHeight="1">
      <c r="C8" s="216" t="s">
        <v>281</v>
      </c>
      <c r="X8" s="217"/>
      <c r="Y8" s="217"/>
      <c r="Z8" s="217"/>
      <c r="AA8" s="217"/>
      <c r="AB8" s="217"/>
      <c r="AC8" s="217"/>
      <c r="AD8" s="217"/>
      <c r="AE8" s="217"/>
      <c r="AF8" s="217"/>
      <c r="AG8" s="217"/>
      <c r="AH8" s="217"/>
      <c r="AI8" s="217"/>
      <c r="AJ8" s="217"/>
      <c r="AK8" s="217"/>
      <c r="AL8" s="217"/>
      <c r="AM8" s="217"/>
      <c r="AN8" s="217">
        <f t="shared" ref="AN8:AU10" si="8">AN4/AJ4-1</f>
        <v>0.29655172413793096</v>
      </c>
      <c r="AO8" s="217">
        <f t="shared" si="8"/>
        <v>0.25308641975308643</v>
      </c>
      <c r="AP8" s="217">
        <f t="shared" si="8"/>
        <v>0.13966480446927365</v>
      </c>
      <c r="AQ8" s="217">
        <f t="shared" si="8"/>
        <v>0.1518324607329844</v>
      </c>
      <c r="AR8" s="217">
        <f t="shared" si="8"/>
        <v>0.20502127659574465</v>
      </c>
      <c r="AS8" s="217">
        <f t="shared" si="8"/>
        <v>0.13426600985221682</v>
      </c>
      <c r="AT8" s="217">
        <f t="shared" si="8"/>
        <v>0.15882352941176481</v>
      </c>
      <c r="AU8" s="217">
        <f t="shared" si="8"/>
        <v>0.15780909090909079</v>
      </c>
      <c r="AV8" s="268">
        <v>0.17</v>
      </c>
      <c r="AW8" s="268">
        <v>0.22</v>
      </c>
      <c r="BM8" s="217"/>
      <c r="BN8" s="217"/>
      <c r="BO8" s="217"/>
      <c r="BP8" s="217"/>
      <c r="BQ8" s="217">
        <f t="shared" ref="BQ8:BR10" si="9">BQ4/BP4-1</f>
        <v>0.20384047267355987</v>
      </c>
      <c r="BR8" s="217">
        <f t="shared" si="9"/>
        <v>0.16308957055214734</v>
      </c>
      <c r="BS8" s="219">
        <v>0.17</v>
      </c>
      <c r="BT8" s="219">
        <v>0.16</v>
      </c>
      <c r="BU8" s="219">
        <v>0.15</v>
      </c>
      <c r="BV8" s="219">
        <v>0.13</v>
      </c>
      <c r="BW8" s="219">
        <v>0.12</v>
      </c>
      <c r="BX8" s="219">
        <v>0.11</v>
      </c>
      <c r="BY8" s="219">
        <v>9.5000000000000001E-2</v>
      </c>
      <c r="BZ8" s="219">
        <v>0.08</v>
      </c>
      <c r="CA8" s="219">
        <v>7.4999999999999997E-2</v>
      </c>
      <c r="CB8" s="219">
        <v>7.0000000000000007E-2</v>
      </c>
    </row>
    <row r="9" spans="3:120" ht="13.5" customHeight="1">
      <c r="C9" s="216" t="s">
        <v>282</v>
      </c>
      <c r="X9" s="217"/>
      <c r="Y9" s="217"/>
      <c r="Z9" s="217"/>
      <c r="AA9" s="217"/>
      <c r="AB9" s="217"/>
      <c r="AC9" s="217"/>
      <c r="AD9" s="217"/>
      <c r="AE9" s="217"/>
      <c r="AF9" s="217"/>
      <c r="AG9" s="217"/>
      <c r="AH9" s="217"/>
      <c r="AI9" s="217"/>
      <c r="AJ9" s="217"/>
      <c r="AK9" s="217"/>
      <c r="AL9" s="217"/>
      <c r="AM9" s="217"/>
      <c r="AN9" s="217">
        <f t="shared" si="8"/>
        <v>-5.208333333333337E-2</v>
      </c>
      <c r="AO9" s="217">
        <f t="shared" si="8"/>
        <v>-3.0303030303030276E-2</v>
      </c>
      <c r="AP9" s="217">
        <f t="shared" si="8"/>
        <v>5.3152173913043388E-2</v>
      </c>
      <c r="AQ9" s="217">
        <f t="shared" si="8"/>
        <v>1.1808510638297909E-2</v>
      </c>
      <c r="AR9" s="217">
        <f t="shared" si="8"/>
        <v>7.2483516483516475E-2</v>
      </c>
      <c r="AS9" s="217">
        <f t="shared" si="8"/>
        <v>0.13748958333333339</v>
      </c>
      <c r="AT9" s="217">
        <f t="shared" si="8"/>
        <v>0.22097223655692022</v>
      </c>
      <c r="AU9" s="217">
        <f t="shared" si="8"/>
        <v>0.37369361791609679</v>
      </c>
      <c r="AV9" s="268">
        <v>0.16</v>
      </c>
      <c r="AW9" s="268">
        <v>0.105</v>
      </c>
      <c r="BM9" s="217"/>
      <c r="BN9" s="217"/>
      <c r="BO9" s="217"/>
      <c r="BP9" s="217"/>
      <c r="BQ9" s="217">
        <f t="shared" si="9"/>
        <v>-5.2493438320210251E-3</v>
      </c>
      <c r="BR9" s="217">
        <f t="shared" si="9"/>
        <v>0.2024986807387863</v>
      </c>
      <c r="BS9" s="219">
        <v>0.13</v>
      </c>
      <c r="BT9" s="219">
        <v>0.09</v>
      </c>
      <c r="BU9" s="219">
        <v>7.4999999999999997E-2</v>
      </c>
      <c r="BV9" s="219">
        <v>0.06</v>
      </c>
      <c r="BW9" s="219">
        <v>4.4999999999999998E-2</v>
      </c>
      <c r="BX9" s="219">
        <v>3.5000000000000003E-2</v>
      </c>
      <c r="BY9" s="219">
        <v>0.03</v>
      </c>
      <c r="BZ9" s="219">
        <v>2.5000000000000001E-2</v>
      </c>
      <c r="CA9" s="219">
        <v>0.02</v>
      </c>
      <c r="CB9" s="219">
        <v>1.4999999999999999E-2</v>
      </c>
    </row>
    <row r="10" spans="3:120" s="210" customFormat="1" ht="13.5" customHeight="1">
      <c r="C10" s="210" t="s">
        <v>278</v>
      </c>
      <c r="D10" s="213"/>
      <c r="E10" s="213"/>
      <c r="F10" s="213"/>
      <c r="G10" s="213"/>
      <c r="H10" s="213"/>
      <c r="I10" s="213"/>
      <c r="J10" s="213"/>
      <c r="K10" s="213"/>
      <c r="L10" s="213"/>
      <c r="M10" s="213"/>
      <c r="N10" s="213"/>
      <c r="O10" s="213"/>
      <c r="P10" s="213"/>
      <c r="Q10" s="213"/>
      <c r="R10" s="213"/>
      <c r="S10" s="213"/>
      <c r="X10" s="221"/>
      <c r="Y10" s="221"/>
      <c r="Z10" s="221"/>
      <c r="AA10" s="221"/>
      <c r="AB10" s="221"/>
      <c r="AC10" s="221"/>
      <c r="AD10" s="221"/>
      <c r="AE10" s="221"/>
      <c r="AF10" s="221"/>
      <c r="AG10" s="221"/>
      <c r="AH10" s="221"/>
      <c r="AI10" s="221"/>
      <c r="AJ10" s="221"/>
      <c r="AK10" s="221"/>
      <c r="AL10" s="221"/>
      <c r="AM10" s="221"/>
      <c r="AN10" s="221">
        <f t="shared" si="8"/>
        <v>0.15767634854771795</v>
      </c>
      <c r="AO10" s="221">
        <f t="shared" si="8"/>
        <v>0.14559386973180066</v>
      </c>
      <c r="AP10" s="221">
        <f t="shared" si="8"/>
        <v>0.11029520295202944</v>
      </c>
      <c r="AQ10" s="221">
        <f t="shared" si="8"/>
        <v>0.10564912280701755</v>
      </c>
      <c r="AR10" s="221">
        <f t="shared" si="8"/>
        <v>0.16179211469534049</v>
      </c>
      <c r="AS10" s="221">
        <f t="shared" si="8"/>
        <v>0.13530100334448147</v>
      </c>
      <c r="AT10" s="221">
        <f t="shared" si="8"/>
        <v>0.17883611951211398</v>
      </c>
      <c r="AU10" s="221">
        <f t="shared" si="8"/>
        <v>0.22296975659293561</v>
      </c>
      <c r="AV10" s="269">
        <f>AV6/AR6-1</f>
        <v>0.15616091812179911</v>
      </c>
      <c r="AW10" s="269">
        <f>AW6/AS6-1</f>
        <v>0.14903595469208009</v>
      </c>
      <c r="AX10" s="208"/>
      <c r="AY10" s="208"/>
      <c r="AZ10" s="208"/>
      <c r="BA10" s="208"/>
      <c r="BB10" s="208"/>
      <c r="BC10" s="208"/>
      <c r="BM10" s="221"/>
      <c r="BN10" s="221"/>
      <c r="BO10" s="221"/>
      <c r="BP10" s="221"/>
      <c r="BQ10" s="221">
        <f t="shared" si="9"/>
        <v>0.12854442344045358</v>
      </c>
      <c r="BR10" s="221">
        <f t="shared" si="9"/>
        <v>0.17559882747068678</v>
      </c>
      <c r="BS10" s="222">
        <f t="shared" ref="BS10:CB10" si="10">BS6/BR6-1</f>
        <v>0.15701265615371174</v>
      </c>
      <c r="BT10" s="222">
        <f t="shared" si="10"/>
        <v>0.13780277309894662</v>
      </c>
      <c r="BU10" s="222">
        <f t="shared" si="10"/>
        <v>0.12721644682108546</v>
      </c>
      <c r="BV10" s="222">
        <f t="shared" si="10"/>
        <v>0.10972040026505581</v>
      </c>
      <c r="BW10" s="222">
        <f t="shared" si="10"/>
        <v>9.9245374670914766E-2</v>
      </c>
      <c r="BX10" s="222">
        <f t="shared" si="10"/>
        <v>9.0269570408347377E-2</v>
      </c>
      <c r="BY10" s="222">
        <f t="shared" si="10"/>
        <v>7.8767138124304914E-2</v>
      </c>
      <c r="BZ10" s="222">
        <f t="shared" si="10"/>
        <v>6.6885433412340767E-2</v>
      </c>
      <c r="CA10" s="222">
        <f t="shared" si="10"/>
        <v>6.2400305289241675E-2</v>
      </c>
      <c r="CB10" s="222">
        <f t="shared" si="10"/>
        <v>5.7903158027166945E-2</v>
      </c>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c r="CY10" s="208"/>
      <c r="CZ10" s="208"/>
      <c r="DA10" s="208"/>
      <c r="DB10" s="208"/>
      <c r="DC10" s="208"/>
      <c r="DD10" s="208"/>
      <c r="DE10" s="208"/>
      <c r="DF10" s="208"/>
      <c r="DG10" s="208"/>
      <c r="DH10" s="208"/>
      <c r="DI10" s="208"/>
      <c r="DJ10" s="208"/>
      <c r="DK10" s="208"/>
      <c r="DL10" s="208"/>
      <c r="DM10" s="208"/>
      <c r="DN10" s="208"/>
      <c r="DO10" s="208"/>
      <c r="DP10" s="208"/>
    </row>
    <row r="11" spans="3:120" ht="13.5" customHeight="1">
      <c r="C11" s="210"/>
      <c r="AR11" s="204"/>
      <c r="AS11" s="204"/>
      <c r="AT11" s="210"/>
      <c r="AU11" s="204"/>
    </row>
    <row r="12" spans="3:120" ht="13.5" customHeight="1">
      <c r="C12" s="216" t="s">
        <v>279</v>
      </c>
      <c r="X12" s="217"/>
      <c r="Y12" s="217"/>
      <c r="Z12" s="217"/>
      <c r="AA12" s="217"/>
      <c r="AB12" s="217"/>
      <c r="AC12" s="217"/>
      <c r="AD12" s="217"/>
      <c r="AE12" s="217"/>
      <c r="AF12" s="217"/>
      <c r="AG12" s="217"/>
      <c r="AH12" s="217"/>
      <c r="AI12" s="217"/>
      <c r="AJ12" s="217">
        <f t="shared" ref="AJ12:AW12" si="11">AJ4/AJ6</f>
        <v>0.60165975103734437</v>
      </c>
      <c r="AK12" s="217">
        <f t="shared" si="11"/>
        <v>0.62068965517241381</v>
      </c>
      <c r="AL12" s="217">
        <f t="shared" si="11"/>
        <v>0.66051660516605171</v>
      </c>
      <c r="AM12" s="217">
        <f t="shared" si="11"/>
        <v>0.6701754385964912</v>
      </c>
      <c r="AN12" s="217">
        <f t="shared" si="11"/>
        <v>0.6738351254480287</v>
      </c>
      <c r="AO12" s="217">
        <f t="shared" si="11"/>
        <v>0.67892976588628762</v>
      </c>
      <c r="AP12" s="217">
        <f t="shared" si="11"/>
        <v>0.6779886337199641</v>
      </c>
      <c r="AQ12" s="217">
        <f t="shared" si="11"/>
        <v>0.69816889340230393</v>
      </c>
      <c r="AR12" s="217">
        <f t="shared" si="11"/>
        <v>0.69890787931140874</v>
      </c>
      <c r="AS12" s="217">
        <f t="shared" si="11"/>
        <v>0.67831082175840685</v>
      </c>
      <c r="AT12" s="217">
        <f t="shared" si="11"/>
        <v>0.66647871440654083</v>
      </c>
      <c r="AU12" s="217">
        <f t="shared" si="11"/>
        <v>0.66096997690531178</v>
      </c>
      <c r="AV12" s="268">
        <f t="shared" si="11"/>
        <v>0.6775492451128462</v>
      </c>
      <c r="AW12" s="268">
        <f t="shared" si="11"/>
        <v>0.66397553109120466</v>
      </c>
      <c r="BM12" s="217"/>
      <c r="BN12" s="217"/>
      <c r="BO12" s="217"/>
      <c r="BP12" s="217">
        <f>AVERAGE(AJ12:AM12)</f>
        <v>0.63826036249307527</v>
      </c>
      <c r="BQ12" s="217">
        <f>AVERAGE(AN12:AQ12)</f>
        <v>0.68223060461414609</v>
      </c>
      <c r="BR12" s="217">
        <f>AVERAGE(AO12:AR12)</f>
        <v>0.68849879307999107</v>
      </c>
      <c r="BS12" s="219">
        <f t="shared" ref="BS12:CB12" si="12">BS4/BS6</f>
        <v>0.6828967585563761</v>
      </c>
      <c r="BT12" s="219">
        <f t="shared" si="12"/>
        <v>0.69621929094780632</v>
      </c>
      <c r="BU12" s="219">
        <f t="shared" si="12"/>
        <v>0.71029143235794068</v>
      </c>
      <c r="BV12" s="219">
        <f t="shared" si="12"/>
        <v>0.72327166227886375</v>
      </c>
      <c r="BW12" s="219">
        <f t="shared" si="12"/>
        <v>0.73692760544463454</v>
      </c>
      <c r="BX12" s="219">
        <f t="shared" si="12"/>
        <v>0.75026366345084372</v>
      </c>
      <c r="BY12" s="219">
        <f t="shared" si="12"/>
        <v>0.76155333476983345</v>
      </c>
      <c r="BZ12" s="219">
        <f t="shared" si="12"/>
        <v>0.77091464162257484</v>
      </c>
      <c r="CA12" s="219">
        <f t="shared" si="12"/>
        <v>0.7800574186757625</v>
      </c>
      <c r="CB12" s="219">
        <f t="shared" si="12"/>
        <v>0.78897716832567755</v>
      </c>
    </row>
    <row r="13" spans="3:120" ht="13.5" customHeight="1">
      <c r="C13" s="216" t="s">
        <v>280</v>
      </c>
      <c r="X13" s="217"/>
      <c r="Y13" s="217"/>
      <c r="Z13" s="217"/>
      <c r="AA13" s="217"/>
      <c r="AB13" s="217"/>
      <c r="AC13" s="217"/>
      <c r="AD13" s="217"/>
      <c r="AE13" s="217"/>
      <c r="AF13" s="217"/>
      <c r="AG13" s="217"/>
      <c r="AH13" s="217"/>
      <c r="AI13" s="217"/>
      <c r="AJ13" s="217">
        <f t="shared" ref="AJ13:AW13" si="13">AJ5/AJ6</f>
        <v>0.39834024896265557</v>
      </c>
      <c r="AK13" s="217">
        <f t="shared" si="13"/>
        <v>0.37931034482758619</v>
      </c>
      <c r="AL13" s="217">
        <f t="shared" si="13"/>
        <v>0.33948339483394835</v>
      </c>
      <c r="AM13" s="217">
        <f t="shared" si="13"/>
        <v>0.3298245614035088</v>
      </c>
      <c r="AN13" s="217">
        <f t="shared" si="13"/>
        <v>0.32616487455197135</v>
      </c>
      <c r="AO13" s="217">
        <f t="shared" si="13"/>
        <v>0.32107023411371238</v>
      </c>
      <c r="AP13" s="217">
        <f t="shared" si="13"/>
        <v>0.3220113662800359</v>
      </c>
      <c r="AQ13" s="217">
        <f t="shared" si="13"/>
        <v>0.30183110659769607</v>
      </c>
      <c r="AR13" s="217">
        <f t="shared" si="13"/>
        <v>0.30109212068859137</v>
      </c>
      <c r="AS13" s="217">
        <f t="shared" si="13"/>
        <v>0.32168917824159315</v>
      </c>
      <c r="AT13" s="217">
        <f t="shared" si="13"/>
        <v>0.33352128559345928</v>
      </c>
      <c r="AU13" s="217">
        <f t="shared" si="13"/>
        <v>0.33903002309468822</v>
      </c>
      <c r="AV13" s="268">
        <f t="shared" si="13"/>
        <v>0.32245075488715386</v>
      </c>
      <c r="AW13" s="268">
        <f t="shared" si="13"/>
        <v>0.33602446890879539</v>
      </c>
      <c r="BM13" s="217"/>
      <c r="BN13" s="217"/>
      <c r="BO13" s="217"/>
      <c r="BP13" s="217">
        <f>AVERAGE(AJ13:AM13)</f>
        <v>0.36173963750692473</v>
      </c>
      <c r="BQ13" s="217">
        <f>AVERAGE(AN13:AQ13)</f>
        <v>0.31776939538585391</v>
      </c>
      <c r="BR13" s="217">
        <f>AVERAGE(AO13:AR13)</f>
        <v>0.31150120692000893</v>
      </c>
      <c r="BS13" s="219">
        <f t="shared" ref="BS13:CB13" si="14">BS5/BS6</f>
        <v>0.31710324144362395</v>
      </c>
      <c r="BT13" s="219">
        <f t="shared" si="14"/>
        <v>0.30378070905219356</v>
      </c>
      <c r="BU13" s="219">
        <f t="shared" si="14"/>
        <v>0.28970856764205921</v>
      </c>
      <c r="BV13" s="219">
        <f t="shared" si="14"/>
        <v>0.2767283377211362</v>
      </c>
      <c r="BW13" s="219">
        <f t="shared" si="14"/>
        <v>0.26307239455536535</v>
      </c>
      <c r="BX13" s="219">
        <f t="shared" si="14"/>
        <v>0.24973633654915628</v>
      </c>
      <c r="BY13" s="219">
        <f t="shared" si="14"/>
        <v>0.23844666523016655</v>
      </c>
      <c r="BZ13" s="219">
        <f t="shared" si="14"/>
        <v>0.22908535837742519</v>
      </c>
      <c r="CA13" s="219">
        <f t="shared" si="14"/>
        <v>0.21994258132423744</v>
      </c>
      <c r="CB13" s="219">
        <f t="shared" si="14"/>
        <v>0.21102283167432245</v>
      </c>
    </row>
    <row r="14" spans="3:120" ht="13.5" customHeight="1">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0"/>
      <c r="AU14" s="217"/>
      <c r="BM14" s="217"/>
      <c r="BN14" s="217"/>
      <c r="BO14" s="217"/>
      <c r="BP14" s="217"/>
      <c r="BQ14" s="217"/>
      <c r="BR14" s="217"/>
    </row>
    <row r="15" spans="3:120" ht="13.5" customHeight="1">
      <c r="C15" s="216" t="s">
        <v>276</v>
      </c>
      <c r="T15" s="211">
        <v>82.510999999999996</v>
      </c>
      <c r="U15" s="211">
        <v>86.373999999999995</v>
      </c>
      <c r="V15" s="211">
        <v>90.272000000000006</v>
      </c>
      <c r="W15" s="211">
        <f>355.22-SUM(T15:V15)</f>
        <v>96.063000000000045</v>
      </c>
      <c r="X15" s="204">
        <v>96</v>
      </c>
      <c r="Y15" s="204">
        <v>78</v>
      </c>
      <c r="Z15" s="204">
        <v>110</v>
      </c>
      <c r="AA15" s="211">
        <f>400-SUM(X15:Z15)</f>
        <v>116</v>
      </c>
      <c r="AB15" s="204">
        <v>120</v>
      </c>
      <c r="AC15" s="204">
        <v>128</v>
      </c>
      <c r="AD15" s="204">
        <v>135</v>
      </c>
      <c r="AE15" s="211">
        <f>528-SUM(AB15:AD15)</f>
        <v>145</v>
      </c>
      <c r="AF15" s="204">
        <v>144</v>
      </c>
      <c r="AG15" s="204">
        <v>141</v>
      </c>
      <c r="AH15" s="204">
        <v>149</v>
      </c>
      <c r="AI15" s="211">
        <f>592-SUM(AF15:AH15)</f>
        <v>158</v>
      </c>
      <c r="AJ15" s="204">
        <v>172</v>
      </c>
      <c r="AK15" s="204">
        <v>186</v>
      </c>
      <c r="AL15" s="204">
        <v>195</v>
      </c>
      <c r="AM15" s="211">
        <f>757-SUM(AJ15:AL15)</f>
        <v>204</v>
      </c>
      <c r="AN15" s="204">
        <v>210</v>
      </c>
      <c r="AO15" s="204">
        <v>218</v>
      </c>
      <c r="AP15" s="204">
        <v>226</v>
      </c>
      <c r="AQ15" s="211">
        <f>902-SUM(AN15:AP15)</f>
        <v>248</v>
      </c>
      <c r="AR15" s="211">
        <v>256.86</v>
      </c>
      <c r="AS15" s="211">
        <v>260.81799999999998</v>
      </c>
      <c r="AT15" s="211">
        <v>275.029</v>
      </c>
      <c r="AU15" s="211">
        <f>1091.761-SUM(AR15:AT15)</f>
        <v>299.05399999999997</v>
      </c>
      <c r="AV15" s="211">
        <v>296.387</v>
      </c>
      <c r="AW15" s="211">
        <v>305.44499999999999</v>
      </c>
      <c r="BL15" s="223">
        <f>SUM(T15:W15)</f>
        <v>355.22</v>
      </c>
      <c r="BM15" s="204">
        <f>SUM(X15:AA15)</f>
        <v>400</v>
      </c>
      <c r="BN15" s="204">
        <f>SUM(AB15:AD15)</f>
        <v>383</v>
      </c>
      <c r="BO15" s="204">
        <f>SUM(AF15:AH15)</f>
        <v>434</v>
      </c>
      <c r="BP15" s="204">
        <f>SUM(AJ15:AM15)</f>
        <v>757</v>
      </c>
      <c r="BQ15" s="204">
        <f>SUM(AN15:AQ15)</f>
        <v>902</v>
      </c>
      <c r="BR15" s="211">
        <f>SUM(AR15:AU15)</f>
        <v>1091.761</v>
      </c>
    </row>
    <row r="16" spans="3:120" ht="13.5" customHeight="1">
      <c r="C16" s="216" t="s">
        <v>277</v>
      </c>
      <c r="T16" s="211">
        <f>9.522+36.406</f>
        <v>45.927999999999997</v>
      </c>
      <c r="U16" s="211">
        <f>12.231+35.596</f>
        <v>47.826999999999998</v>
      </c>
      <c r="V16" s="211">
        <f>11.214+38.016</f>
        <v>49.23</v>
      </c>
      <c r="W16" s="211">
        <f>42.52+149.663-SUM(T16:V16)</f>
        <v>49.198000000000036</v>
      </c>
      <c r="X16" s="204">
        <v>41</v>
      </c>
      <c r="Y16" s="204">
        <v>27</v>
      </c>
      <c r="Z16" s="204">
        <v>41</v>
      </c>
      <c r="AA16" s="211">
        <f>160-SUM(X16:Z16)</f>
        <v>51</v>
      </c>
      <c r="AB16" s="204">
        <v>49</v>
      </c>
      <c r="AC16" s="204">
        <v>56</v>
      </c>
      <c r="AD16" s="204">
        <v>55</v>
      </c>
      <c r="AE16" s="211">
        <f>220-SUM(AB16:AD16)</f>
        <v>60</v>
      </c>
      <c r="AF16" s="204">
        <v>60</v>
      </c>
      <c r="AG16" s="204">
        <v>67</v>
      </c>
      <c r="AH16" s="204">
        <v>65</v>
      </c>
      <c r="AI16" s="211">
        <f>255-SUM(AF16:AH16)</f>
        <v>63</v>
      </c>
      <c r="AJ16" s="204">
        <v>69</v>
      </c>
      <c r="AK16" s="204">
        <v>75</v>
      </c>
      <c r="AL16" s="204">
        <v>76</v>
      </c>
      <c r="AM16" s="211">
        <f>301-SUM(AJ16:AL16)</f>
        <v>81</v>
      </c>
      <c r="AN16" s="204">
        <v>69</v>
      </c>
      <c r="AO16" s="204">
        <v>81</v>
      </c>
      <c r="AP16" s="204">
        <v>77</v>
      </c>
      <c r="AQ16" s="211">
        <f>292-SUM(AN16:AP16)</f>
        <v>65</v>
      </c>
      <c r="AR16" s="211">
        <v>67.28</v>
      </c>
      <c r="AS16" s="211">
        <v>78.637</v>
      </c>
      <c r="AT16" s="211">
        <v>79.656000000000006</v>
      </c>
      <c r="AU16" s="211">
        <f>311.904-SUM(AR16:AT16)</f>
        <v>86.330999999999989</v>
      </c>
      <c r="AV16" s="211">
        <v>78.370999999999995</v>
      </c>
      <c r="AW16" s="211">
        <v>84.600999999999999</v>
      </c>
      <c r="BL16" s="223">
        <f>SUM(T16:W16)</f>
        <v>192.18300000000002</v>
      </c>
      <c r="BM16" s="204">
        <f>SUM(X16:AA16)</f>
        <v>160</v>
      </c>
      <c r="BN16" s="204">
        <f>SUM(AB16:AD16)</f>
        <v>160</v>
      </c>
      <c r="BO16" s="204">
        <f>SUM(AF16:AH16)</f>
        <v>192</v>
      </c>
      <c r="BP16" s="204">
        <f>SUM(AJ16:AM16)</f>
        <v>301</v>
      </c>
      <c r="BQ16" s="204">
        <f>SUM(AN16:AQ16)</f>
        <v>292</v>
      </c>
      <c r="BR16" s="211">
        <f>SUM(AR16:AU16)</f>
        <v>311.904</v>
      </c>
    </row>
    <row r="17" spans="3:120" s="210" customFormat="1" ht="13.5" customHeight="1">
      <c r="C17" s="210" t="s">
        <v>275</v>
      </c>
      <c r="D17" s="213"/>
      <c r="E17" s="213"/>
      <c r="F17" s="213"/>
      <c r="G17" s="213"/>
      <c r="H17" s="213"/>
      <c r="I17" s="213"/>
      <c r="J17" s="213"/>
      <c r="K17" s="213"/>
      <c r="L17" s="213"/>
      <c r="M17" s="213"/>
      <c r="N17" s="213"/>
      <c r="O17" s="213"/>
      <c r="P17" s="213"/>
      <c r="Q17" s="213"/>
      <c r="R17" s="213"/>
      <c r="S17" s="213"/>
      <c r="T17" s="214">
        <f t="shared" ref="T17:AO17" si="15">SUM(T15:T16)</f>
        <v>128.43899999999999</v>
      </c>
      <c r="U17" s="214">
        <f t="shared" si="15"/>
        <v>134.20099999999999</v>
      </c>
      <c r="V17" s="214">
        <f t="shared" si="15"/>
        <v>139.50200000000001</v>
      </c>
      <c r="W17" s="214">
        <f t="shared" si="15"/>
        <v>145.26100000000008</v>
      </c>
      <c r="X17" s="210">
        <f t="shared" si="15"/>
        <v>137</v>
      </c>
      <c r="Y17" s="210">
        <f t="shared" si="15"/>
        <v>105</v>
      </c>
      <c r="Z17" s="210">
        <f t="shared" si="15"/>
        <v>151</v>
      </c>
      <c r="AA17" s="210">
        <f t="shared" si="15"/>
        <v>167</v>
      </c>
      <c r="AB17" s="210">
        <f t="shared" si="15"/>
        <v>169</v>
      </c>
      <c r="AC17" s="210">
        <f t="shared" si="15"/>
        <v>184</v>
      </c>
      <c r="AD17" s="210">
        <f t="shared" si="15"/>
        <v>190</v>
      </c>
      <c r="AE17" s="210">
        <f t="shared" si="15"/>
        <v>205</v>
      </c>
      <c r="AF17" s="210">
        <f t="shared" si="15"/>
        <v>204</v>
      </c>
      <c r="AG17" s="210">
        <f t="shared" si="15"/>
        <v>208</v>
      </c>
      <c r="AH17" s="210">
        <f t="shared" si="15"/>
        <v>214</v>
      </c>
      <c r="AI17" s="210">
        <f t="shared" si="15"/>
        <v>221</v>
      </c>
      <c r="AJ17" s="210">
        <f t="shared" si="15"/>
        <v>241</v>
      </c>
      <c r="AK17" s="210">
        <f t="shared" si="15"/>
        <v>261</v>
      </c>
      <c r="AL17" s="210">
        <f t="shared" si="15"/>
        <v>271</v>
      </c>
      <c r="AM17" s="210">
        <f t="shared" si="15"/>
        <v>285</v>
      </c>
      <c r="AN17" s="210">
        <f t="shared" si="15"/>
        <v>279</v>
      </c>
      <c r="AO17" s="210">
        <f t="shared" si="15"/>
        <v>299</v>
      </c>
      <c r="AP17" s="210">
        <f t="shared" ref="AP17:AU17" si="16">SUM(AP15:AP16)</f>
        <v>303</v>
      </c>
      <c r="AQ17" s="210">
        <f t="shared" si="16"/>
        <v>313</v>
      </c>
      <c r="AR17" s="214">
        <f t="shared" si="16"/>
        <v>324.14</v>
      </c>
      <c r="AS17" s="214">
        <f t="shared" si="16"/>
        <v>339.45499999999998</v>
      </c>
      <c r="AT17" s="214">
        <f t="shared" si="16"/>
        <v>354.685</v>
      </c>
      <c r="AU17" s="214">
        <f t="shared" si="16"/>
        <v>385.38499999999999</v>
      </c>
      <c r="AV17" s="214">
        <f t="shared" ref="AV17:AW17" si="17">SUM(AV15:AV16)</f>
        <v>374.75799999999998</v>
      </c>
      <c r="AW17" s="214">
        <f t="shared" si="17"/>
        <v>390.04599999999999</v>
      </c>
      <c r="AX17" s="208"/>
      <c r="AY17" s="208"/>
      <c r="AZ17" s="208"/>
      <c r="BA17" s="208"/>
      <c r="BB17" s="208"/>
      <c r="BC17" s="208"/>
      <c r="BL17" s="214">
        <f>SUM(T17:W17)</f>
        <v>547.40300000000002</v>
      </c>
      <c r="BM17" s="214">
        <f>SUM(X17:AA17)</f>
        <v>560</v>
      </c>
      <c r="BN17" s="214">
        <f>SUM(AB17:AE17)</f>
        <v>748</v>
      </c>
      <c r="BO17" s="214">
        <f>SUM(AF17:AI17)</f>
        <v>847</v>
      </c>
      <c r="BP17" s="214">
        <f>SUM(AJ17:AM17)</f>
        <v>1058</v>
      </c>
      <c r="BQ17" s="214">
        <f>SUM(AN17:AQ17)</f>
        <v>1194</v>
      </c>
      <c r="BR17" s="214">
        <f>SUM(AR17:AU17)</f>
        <v>1403.665</v>
      </c>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c r="CY17" s="208"/>
      <c r="CZ17" s="208"/>
      <c r="DA17" s="208"/>
      <c r="DB17" s="208"/>
      <c r="DC17" s="208"/>
      <c r="DD17" s="208"/>
      <c r="DE17" s="208"/>
      <c r="DF17" s="208"/>
      <c r="DG17" s="208"/>
      <c r="DH17" s="208"/>
      <c r="DI17" s="208"/>
      <c r="DJ17" s="208"/>
      <c r="DK17" s="208"/>
      <c r="DL17" s="208"/>
      <c r="DM17" s="208"/>
      <c r="DN17" s="208"/>
      <c r="DO17" s="208"/>
      <c r="DP17" s="208"/>
    </row>
    <row r="18" spans="3:120" ht="13.5" customHeight="1">
      <c r="AR18" s="204"/>
      <c r="AS18" s="204"/>
      <c r="AT18" s="210"/>
      <c r="AU18" s="204"/>
      <c r="AV18" s="204"/>
      <c r="AW18" s="204"/>
    </row>
    <row r="19" spans="3:120" ht="13.5" customHeight="1">
      <c r="C19" s="216" t="s">
        <v>285</v>
      </c>
      <c r="T19" s="217"/>
      <c r="U19" s="217"/>
      <c r="V19" s="217"/>
      <c r="W19" s="217"/>
      <c r="X19" s="217">
        <f t="shared" ref="X19:AW21" si="18">X15/T15-1</f>
        <v>0.16348123280532301</v>
      </c>
      <c r="Y19" s="217">
        <f t="shared" si="18"/>
        <v>-9.6950471206613043E-2</v>
      </c>
      <c r="Z19" s="217">
        <f t="shared" si="18"/>
        <v>0.21853952499113771</v>
      </c>
      <c r="AA19" s="217">
        <f t="shared" si="18"/>
        <v>0.20754088462779574</v>
      </c>
      <c r="AB19" s="217">
        <f t="shared" si="18"/>
        <v>0.25</v>
      </c>
      <c r="AC19" s="217">
        <f t="shared" si="18"/>
        <v>0.64102564102564097</v>
      </c>
      <c r="AD19" s="217">
        <f t="shared" si="18"/>
        <v>0.22727272727272729</v>
      </c>
      <c r="AE19" s="217">
        <f t="shared" si="18"/>
        <v>0.25</v>
      </c>
      <c r="AF19" s="217">
        <f t="shared" si="18"/>
        <v>0.19999999999999996</v>
      </c>
      <c r="AG19" s="217">
        <f t="shared" si="18"/>
        <v>0.1015625</v>
      </c>
      <c r="AH19" s="217">
        <f t="shared" si="18"/>
        <v>0.10370370370370363</v>
      </c>
      <c r="AI19" s="217">
        <f t="shared" si="18"/>
        <v>8.9655172413793061E-2</v>
      </c>
      <c r="AJ19" s="217">
        <f t="shared" si="18"/>
        <v>0.19444444444444442</v>
      </c>
      <c r="AK19" s="217">
        <f t="shared" si="18"/>
        <v>0.31914893617021267</v>
      </c>
      <c r="AL19" s="217">
        <f t="shared" si="18"/>
        <v>0.3087248322147651</v>
      </c>
      <c r="AM19" s="217">
        <f t="shared" si="18"/>
        <v>0.29113924050632911</v>
      </c>
      <c r="AN19" s="217">
        <f t="shared" si="18"/>
        <v>0.22093023255813948</v>
      </c>
      <c r="AO19" s="217">
        <f t="shared" si="18"/>
        <v>0.17204301075268824</v>
      </c>
      <c r="AP19" s="217">
        <f t="shared" si="18"/>
        <v>0.15897435897435908</v>
      </c>
      <c r="AQ19" s="217">
        <f t="shared" si="18"/>
        <v>0.21568627450980382</v>
      </c>
      <c r="AR19" s="217">
        <f t="shared" si="18"/>
        <v>0.22314285714285731</v>
      </c>
      <c r="AS19" s="217">
        <f t="shared" si="18"/>
        <v>0.19641284403669723</v>
      </c>
      <c r="AT19" s="217">
        <f t="shared" si="18"/>
        <v>0.21694247787610621</v>
      </c>
      <c r="AU19" s="217">
        <f t="shared" si="18"/>
        <v>0.20586290322580636</v>
      </c>
      <c r="AV19" s="217">
        <f t="shared" si="18"/>
        <v>0.1538853850346491</v>
      </c>
      <c r="AW19" s="217">
        <f t="shared" si="18"/>
        <v>0.17110398822167183</v>
      </c>
      <c r="BL19" s="217"/>
      <c r="BM19" s="217">
        <f t="shared" ref="BM19:BR21" si="19">BM15/BL15-1</f>
        <v>0.12606272169359833</v>
      </c>
      <c r="BN19" s="217">
        <f t="shared" si="19"/>
        <v>-4.2499999999999982E-2</v>
      </c>
      <c r="BO19" s="217">
        <f t="shared" si="19"/>
        <v>0.13315926892950403</v>
      </c>
      <c r="BP19" s="217">
        <f t="shared" si="19"/>
        <v>0.74423963133640547</v>
      </c>
      <c r="BQ19" s="217">
        <f t="shared" si="19"/>
        <v>0.19154557463672384</v>
      </c>
      <c r="BR19" s="217">
        <f t="shared" si="19"/>
        <v>0.21037804878048783</v>
      </c>
    </row>
    <row r="20" spans="3:120" ht="13.5" customHeight="1">
      <c r="C20" s="216" t="s">
        <v>286</v>
      </c>
      <c r="T20" s="217"/>
      <c r="U20" s="217"/>
      <c r="V20" s="217"/>
      <c r="W20" s="217"/>
      <c r="X20" s="217">
        <f t="shared" si="18"/>
        <v>-0.10729838007315795</v>
      </c>
      <c r="Y20" s="217">
        <f t="shared" si="18"/>
        <v>-0.43546532293474394</v>
      </c>
      <c r="Z20" s="217">
        <f t="shared" si="18"/>
        <v>-0.16717448710136096</v>
      </c>
      <c r="AA20" s="217">
        <f t="shared" si="18"/>
        <v>3.6627505183136844E-2</v>
      </c>
      <c r="AB20" s="217">
        <f t="shared" si="18"/>
        <v>0.19512195121951215</v>
      </c>
      <c r="AC20" s="217">
        <f t="shared" si="18"/>
        <v>1.074074074074074</v>
      </c>
      <c r="AD20" s="217">
        <f t="shared" si="18"/>
        <v>0.34146341463414642</v>
      </c>
      <c r="AE20" s="217">
        <f t="shared" si="18"/>
        <v>0.17647058823529416</v>
      </c>
      <c r="AF20" s="217">
        <f t="shared" si="18"/>
        <v>0.22448979591836737</v>
      </c>
      <c r="AG20" s="217">
        <f t="shared" si="18"/>
        <v>0.1964285714285714</v>
      </c>
      <c r="AH20" s="217">
        <f t="shared" si="18"/>
        <v>0.18181818181818188</v>
      </c>
      <c r="AI20" s="217">
        <f t="shared" si="18"/>
        <v>5.0000000000000044E-2</v>
      </c>
      <c r="AJ20" s="217">
        <f t="shared" si="18"/>
        <v>0.14999999999999991</v>
      </c>
      <c r="AK20" s="217">
        <f t="shared" si="18"/>
        <v>0.11940298507462677</v>
      </c>
      <c r="AL20" s="217">
        <f t="shared" si="18"/>
        <v>0.1692307692307693</v>
      </c>
      <c r="AM20" s="217">
        <f t="shared" si="18"/>
        <v>0.28571428571428581</v>
      </c>
      <c r="AN20" s="217">
        <f t="shared" si="18"/>
        <v>0</v>
      </c>
      <c r="AO20" s="217">
        <f t="shared" si="18"/>
        <v>8.0000000000000071E-2</v>
      </c>
      <c r="AP20" s="217">
        <f t="shared" si="18"/>
        <v>1.3157894736842035E-2</v>
      </c>
      <c r="AQ20" s="217">
        <f t="shared" si="18"/>
        <v>-0.19753086419753085</v>
      </c>
      <c r="AR20" s="217">
        <f t="shared" si="18"/>
        <v>-2.492753623188404E-2</v>
      </c>
      <c r="AS20" s="217">
        <f t="shared" si="18"/>
        <v>-2.9172839506172887E-2</v>
      </c>
      <c r="AT20" s="217">
        <f t="shared" si="18"/>
        <v>3.4493506493506576E-2</v>
      </c>
      <c r="AU20" s="217">
        <f t="shared" si="18"/>
        <v>0.32816923076923055</v>
      </c>
      <c r="AV20" s="217">
        <f t="shared" si="18"/>
        <v>0.16484839476813318</v>
      </c>
      <c r="AW20" s="217">
        <f t="shared" si="18"/>
        <v>7.5842160814883597E-2</v>
      </c>
      <c r="BL20" s="217"/>
      <c r="BM20" s="217">
        <f t="shared" si="19"/>
        <v>-0.16746018118147821</v>
      </c>
      <c r="BN20" s="217">
        <f t="shared" si="19"/>
        <v>0</v>
      </c>
      <c r="BO20" s="217">
        <f t="shared" si="19"/>
        <v>0.19999999999999996</v>
      </c>
      <c r="BP20" s="217">
        <f t="shared" si="19"/>
        <v>0.56770833333333326</v>
      </c>
      <c r="BQ20" s="217">
        <f t="shared" si="19"/>
        <v>-2.9900332225913595E-2</v>
      </c>
      <c r="BR20" s="217">
        <f t="shared" si="19"/>
        <v>6.8164383561643893E-2</v>
      </c>
    </row>
    <row r="21" spans="3:120" ht="13.5" customHeight="1">
      <c r="C21" s="204" t="s">
        <v>278</v>
      </c>
      <c r="T21" s="217"/>
      <c r="U21" s="217"/>
      <c r="V21" s="217"/>
      <c r="W21" s="217"/>
      <c r="X21" s="217">
        <f t="shared" si="18"/>
        <v>6.6654209391228569E-2</v>
      </c>
      <c r="Y21" s="217">
        <f t="shared" si="18"/>
        <v>-0.21759152316301666</v>
      </c>
      <c r="Z21" s="217">
        <f t="shared" si="18"/>
        <v>8.2421757394159245E-2</v>
      </c>
      <c r="AA21" s="217">
        <f t="shared" si="18"/>
        <v>0.14965475936417838</v>
      </c>
      <c r="AB21" s="217">
        <f t="shared" si="18"/>
        <v>0.23357664233576636</v>
      </c>
      <c r="AC21" s="217">
        <f t="shared" si="18"/>
        <v>0.75238095238095237</v>
      </c>
      <c r="AD21" s="217">
        <f t="shared" si="18"/>
        <v>0.25827814569536423</v>
      </c>
      <c r="AE21" s="217">
        <f t="shared" si="18"/>
        <v>0.22754491017964074</v>
      </c>
      <c r="AF21" s="217">
        <f t="shared" si="18"/>
        <v>0.20710059171597628</v>
      </c>
      <c r="AG21" s="217">
        <f t="shared" si="18"/>
        <v>0.13043478260869557</v>
      </c>
      <c r="AH21" s="217">
        <f t="shared" si="18"/>
        <v>0.12631578947368416</v>
      </c>
      <c r="AI21" s="217">
        <f t="shared" si="18"/>
        <v>7.8048780487804947E-2</v>
      </c>
      <c r="AJ21" s="217">
        <f t="shared" si="18"/>
        <v>0.18137254901960786</v>
      </c>
      <c r="AK21" s="217">
        <f t="shared" si="18"/>
        <v>0.25480769230769229</v>
      </c>
      <c r="AL21" s="217">
        <f t="shared" si="18"/>
        <v>0.26635514018691597</v>
      </c>
      <c r="AM21" s="217">
        <f t="shared" si="18"/>
        <v>0.28959276018099556</v>
      </c>
      <c r="AN21" s="217">
        <f t="shared" si="18"/>
        <v>0.15767634854771795</v>
      </c>
      <c r="AO21" s="217">
        <f t="shared" si="18"/>
        <v>0.14559386973180066</v>
      </c>
      <c r="AP21" s="217">
        <f t="shared" si="18"/>
        <v>0.11808118081180807</v>
      </c>
      <c r="AQ21" s="217">
        <f t="shared" si="18"/>
        <v>9.8245614035087803E-2</v>
      </c>
      <c r="AR21" s="217">
        <f t="shared" si="18"/>
        <v>0.16179211469534049</v>
      </c>
      <c r="AS21" s="217">
        <f t="shared" si="18"/>
        <v>0.13530100334448147</v>
      </c>
      <c r="AT21" s="217">
        <f t="shared" si="18"/>
        <v>0.17057755775577554</v>
      </c>
      <c r="AU21" s="217">
        <f t="shared" si="18"/>
        <v>0.23126198083067084</v>
      </c>
      <c r="AV21" s="217">
        <f t="shared" si="18"/>
        <v>0.15616091812179911</v>
      </c>
      <c r="AW21" s="217">
        <f t="shared" si="18"/>
        <v>0.14903595469208009</v>
      </c>
      <c r="BL21" s="217"/>
      <c r="BM21" s="217">
        <f t="shared" si="19"/>
        <v>2.3012296242439279E-2</v>
      </c>
      <c r="BN21" s="217">
        <f t="shared" si="19"/>
        <v>0.33571428571428563</v>
      </c>
      <c r="BO21" s="217">
        <f t="shared" si="19"/>
        <v>0.13235294117647056</v>
      </c>
      <c r="BP21" s="217">
        <f t="shared" si="19"/>
        <v>0.2491145218417945</v>
      </c>
      <c r="BQ21" s="217">
        <f t="shared" si="19"/>
        <v>0.12854442344045358</v>
      </c>
      <c r="BR21" s="217">
        <f t="shared" si="19"/>
        <v>0.17559882747068678</v>
      </c>
    </row>
    <row r="22" spans="3:120" ht="13.5" customHeight="1">
      <c r="AR22" s="204"/>
      <c r="AS22" s="204"/>
      <c r="AT22" s="210"/>
      <c r="AU22" s="204"/>
      <c r="AV22" s="204"/>
      <c r="AW22" s="204"/>
    </row>
    <row r="23" spans="3:120" ht="13.5" customHeight="1">
      <c r="C23" s="216" t="s">
        <v>283</v>
      </c>
      <c r="T23" s="217">
        <f t="shared" ref="T23:AW23" si="20">T15/T17</f>
        <v>0.64241390854802671</v>
      </c>
      <c r="U23" s="217">
        <f t="shared" si="20"/>
        <v>0.64361666455540567</v>
      </c>
      <c r="V23" s="217">
        <f t="shared" si="20"/>
        <v>0.64710183366546714</v>
      </c>
      <c r="W23" s="217">
        <f t="shared" si="20"/>
        <v>0.66131308472335992</v>
      </c>
      <c r="X23" s="217">
        <f t="shared" si="20"/>
        <v>0.7007299270072993</v>
      </c>
      <c r="Y23" s="217">
        <f t="shared" si="20"/>
        <v>0.74285714285714288</v>
      </c>
      <c r="Z23" s="217">
        <f t="shared" si="20"/>
        <v>0.72847682119205293</v>
      </c>
      <c r="AA23" s="217">
        <f t="shared" si="20"/>
        <v>0.69461077844311381</v>
      </c>
      <c r="AB23" s="217">
        <f t="shared" si="20"/>
        <v>0.7100591715976331</v>
      </c>
      <c r="AC23" s="217">
        <f t="shared" si="20"/>
        <v>0.69565217391304346</v>
      </c>
      <c r="AD23" s="217">
        <f t="shared" si="20"/>
        <v>0.71052631578947367</v>
      </c>
      <c r="AE23" s="217">
        <f t="shared" si="20"/>
        <v>0.70731707317073167</v>
      </c>
      <c r="AF23" s="217">
        <f t="shared" si="20"/>
        <v>0.70588235294117652</v>
      </c>
      <c r="AG23" s="217">
        <f t="shared" si="20"/>
        <v>0.67788461538461542</v>
      </c>
      <c r="AH23" s="217">
        <f t="shared" si="20"/>
        <v>0.69626168224299068</v>
      </c>
      <c r="AI23" s="217">
        <f t="shared" si="20"/>
        <v>0.71493212669683259</v>
      </c>
      <c r="AJ23" s="217">
        <f t="shared" si="20"/>
        <v>0.7136929460580913</v>
      </c>
      <c r="AK23" s="217">
        <f t="shared" si="20"/>
        <v>0.71264367816091956</v>
      </c>
      <c r="AL23" s="217">
        <f t="shared" si="20"/>
        <v>0.71955719557195574</v>
      </c>
      <c r="AM23" s="217">
        <f t="shared" si="20"/>
        <v>0.71578947368421053</v>
      </c>
      <c r="AN23" s="217">
        <f t="shared" si="20"/>
        <v>0.75268817204301075</v>
      </c>
      <c r="AO23" s="217">
        <f t="shared" si="20"/>
        <v>0.72909698996655514</v>
      </c>
      <c r="AP23" s="217">
        <f t="shared" si="20"/>
        <v>0.74587458745874591</v>
      </c>
      <c r="AQ23" s="217">
        <f t="shared" si="20"/>
        <v>0.792332268370607</v>
      </c>
      <c r="AR23" s="217">
        <f t="shared" si="20"/>
        <v>0.79243536743382492</v>
      </c>
      <c r="AS23" s="217">
        <f t="shared" si="20"/>
        <v>0.7683433739376353</v>
      </c>
      <c r="AT23" s="217">
        <f t="shared" si="20"/>
        <v>0.7754176240889803</v>
      </c>
      <c r="AU23" s="217">
        <f t="shared" si="20"/>
        <v>0.77598764871492143</v>
      </c>
      <c r="AV23" s="217">
        <f t="shared" si="20"/>
        <v>0.79087571179267691</v>
      </c>
      <c r="AW23" s="217">
        <f t="shared" si="20"/>
        <v>0.78309994205811617</v>
      </c>
      <c r="BL23" s="217">
        <f t="shared" ref="BL23:BR23" si="21">BL15/BL17</f>
        <v>0.64891862119864163</v>
      </c>
      <c r="BM23" s="217">
        <f t="shared" si="21"/>
        <v>0.7142857142857143</v>
      </c>
      <c r="BN23" s="217">
        <f t="shared" si="21"/>
        <v>0.51203208556149737</v>
      </c>
      <c r="BO23" s="217">
        <f t="shared" si="21"/>
        <v>0.51239669421487599</v>
      </c>
      <c r="BP23" s="217">
        <f t="shared" si="21"/>
        <v>0.71550094517958407</v>
      </c>
      <c r="BQ23" s="217">
        <f t="shared" si="21"/>
        <v>0.75544388609715241</v>
      </c>
      <c r="BR23" s="217">
        <f t="shared" si="21"/>
        <v>0.77779313440172693</v>
      </c>
    </row>
    <row r="24" spans="3:120" ht="13.5" customHeight="1">
      <c r="C24" s="216" t="s">
        <v>284</v>
      </c>
      <c r="T24" s="217">
        <f t="shared" ref="T24:AW24" si="22">T16/T17</f>
        <v>0.35758609145197329</v>
      </c>
      <c r="U24" s="217">
        <f t="shared" si="22"/>
        <v>0.35638333544459433</v>
      </c>
      <c r="V24" s="217">
        <f t="shared" si="22"/>
        <v>0.3528981663345328</v>
      </c>
      <c r="W24" s="217">
        <f t="shared" si="22"/>
        <v>0.33868691527664002</v>
      </c>
      <c r="X24" s="217">
        <f t="shared" si="22"/>
        <v>0.29927007299270075</v>
      </c>
      <c r="Y24" s="217">
        <f t="shared" si="22"/>
        <v>0.25714285714285712</v>
      </c>
      <c r="Z24" s="217">
        <f t="shared" si="22"/>
        <v>0.27152317880794702</v>
      </c>
      <c r="AA24" s="217">
        <f t="shared" si="22"/>
        <v>0.30538922155688625</v>
      </c>
      <c r="AB24" s="217">
        <f t="shared" si="22"/>
        <v>0.28994082840236685</v>
      </c>
      <c r="AC24" s="217">
        <f t="shared" si="22"/>
        <v>0.30434782608695654</v>
      </c>
      <c r="AD24" s="217">
        <f t="shared" si="22"/>
        <v>0.28947368421052633</v>
      </c>
      <c r="AE24" s="217">
        <f t="shared" si="22"/>
        <v>0.29268292682926828</v>
      </c>
      <c r="AF24" s="217">
        <f t="shared" si="22"/>
        <v>0.29411764705882354</v>
      </c>
      <c r="AG24" s="217">
        <f t="shared" si="22"/>
        <v>0.32211538461538464</v>
      </c>
      <c r="AH24" s="217">
        <f t="shared" si="22"/>
        <v>0.30373831775700932</v>
      </c>
      <c r="AI24" s="217">
        <f t="shared" si="22"/>
        <v>0.28506787330316741</v>
      </c>
      <c r="AJ24" s="217">
        <f t="shared" si="22"/>
        <v>0.2863070539419087</v>
      </c>
      <c r="AK24" s="217">
        <f t="shared" si="22"/>
        <v>0.28735632183908044</v>
      </c>
      <c r="AL24" s="217">
        <f t="shared" si="22"/>
        <v>0.28044280442804426</v>
      </c>
      <c r="AM24" s="217">
        <f t="shared" si="22"/>
        <v>0.28421052631578947</v>
      </c>
      <c r="AN24" s="217">
        <f t="shared" si="22"/>
        <v>0.24731182795698925</v>
      </c>
      <c r="AO24" s="217">
        <f t="shared" si="22"/>
        <v>0.2709030100334448</v>
      </c>
      <c r="AP24" s="217">
        <f t="shared" si="22"/>
        <v>0.25412541254125415</v>
      </c>
      <c r="AQ24" s="217">
        <f t="shared" si="22"/>
        <v>0.20766773162939298</v>
      </c>
      <c r="AR24" s="217">
        <f t="shared" si="22"/>
        <v>0.20756463256617513</v>
      </c>
      <c r="AS24" s="217">
        <f t="shared" si="22"/>
        <v>0.23165662606236467</v>
      </c>
      <c r="AT24" s="217">
        <f t="shared" si="22"/>
        <v>0.22458237591101965</v>
      </c>
      <c r="AU24" s="217">
        <f t="shared" si="22"/>
        <v>0.22401235128507854</v>
      </c>
      <c r="AV24" s="217">
        <f t="shared" si="22"/>
        <v>0.20912428820732312</v>
      </c>
      <c r="AW24" s="217">
        <f t="shared" si="22"/>
        <v>0.21690005794188377</v>
      </c>
      <c r="BL24" s="217">
        <f t="shared" ref="BL24:BR24" si="23">BL16/BL17</f>
        <v>0.35108137880135842</v>
      </c>
      <c r="BM24" s="217">
        <f t="shared" si="23"/>
        <v>0.2857142857142857</v>
      </c>
      <c r="BN24" s="217">
        <f t="shared" si="23"/>
        <v>0.21390374331550802</v>
      </c>
      <c r="BO24" s="217">
        <f t="shared" si="23"/>
        <v>0.22668240850059032</v>
      </c>
      <c r="BP24" s="217">
        <f t="shared" si="23"/>
        <v>0.28449905482041588</v>
      </c>
      <c r="BQ24" s="217">
        <f t="shared" si="23"/>
        <v>0.24455611390284757</v>
      </c>
      <c r="BR24" s="217">
        <f t="shared" si="23"/>
        <v>0.2222068655982731</v>
      </c>
    </row>
    <row r="25" spans="3:120" ht="13.5" customHeight="1">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BL25" s="217"/>
      <c r="BM25" s="217"/>
      <c r="BN25" s="217"/>
      <c r="BO25" s="217"/>
      <c r="BP25" s="217"/>
      <c r="BQ25" s="217"/>
      <c r="BR25" s="217"/>
    </row>
    <row r="26" spans="3:120" s="210" customFormat="1" ht="13.5" customHeight="1">
      <c r="C26" s="210" t="s">
        <v>273</v>
      </c>
      <c r="D26" s="206">
        <v>39</v>
      </c>
      <c r="E26" s="206">
        <v>42.3</v>
      </c>
      <c r="F26" s="206">
        <v>50.4</v>
      </c>
      <c r="G26" s="206">
        <v>54.4</v>
      </c>
      <c r="H26" s="206">
        <v>57.9</v>
      </c>
      <c r="I26" s="206">
        <v>65.099999999999994</v>
      </c>
      <c r="J26" s="206">
        <v>67.2</v>
      </c>
      <c r="K26" s="206">
        <v>73.099999999999994</v>
      </c>
      <c r="L26" s="206">
        <v>73.2</v>
      </c>
      <c r="M26" s="206">
        <v>80.599999999999994</v>
      </c>
      <c r="N26" s="206">
        <v>83.9</v>
      </c>
      <c r="O26" s="206">
        <v>96.1</v>
      </c>
      <c r="P26" s="206">
        <v>102.7</v>
      </c>
      <c r="Q26" s="206">
        <v>109.6</v>
      </c>
      <c r="R26" s="206">
        <v>111.8</v>
      </c>
      <c r="S26" s="206">
        <v>120.8</v>
      </c>
      <c r="T26" s="206">
        <f>T17</f>
        <v>128.43899999999999</v>
      </c>
      <c r="U26" s="206">
        <f>U17</f>
        <v>134.20099999999999</v>
      </c>
      <c r="V26" s="206">
        <f>V17</f>
        <v>139.50200000000001</v>
      </c>
      <c r="W26" s="206">
        <f>W17</f>
        <v>145.26100000000008</v>
      </c>
      <c r="X26" s="206">
        <v>137.30000000000001</v>
      </c>
      <c r="Y26" s="206">
        <v>105.1</v>
      </c>
      <c r="Z26" s="206">
        <v>151.1</v>
      </c>
      <c r="AA26" s="206">
        <f>560.412-SUM(X26:Z26)</f>
        <v>166.91200000000003</v>
      </c>
      <c r="AB26" s="206">
        <v>169.2</v>
      </c>
      <c r="AC26" s="206">
        <v>184.3</v>
      </c>
      <c r="AD26" s="206">
        <v>190.1</v>
      </c>
      <c r="AE26" s="206">
        <f>747.59-SUM(AB26:AD26)</f>
        <v>203.99</v>
      </c>
      <c r="AF26" s="206">
        <v>203.9</v>
      </c>
      <c r="AG26" s="206">
        <v>208.3</v>
      </c>
      <c r="AH26" s="206">
        <v>213.7</v>
      </c>
      <c r="AI26" s="206">
        <f>847.133-SUM(AF26:AH26)</f>
        <v>221.23299999999995</v>
      </c>
      <c r="AJ26" s="206">
        <v>241.4</v>
      </c>
      <c r="AK26" s="206">
        <v>261.5</v>
      </c>
      <c r="AL26" s="206">
        <v>270.89999999999998</v>
      </c>
      <c r="AM26" s="206">
        <f>1058.52-SUM(AJ26:AL26)</f>
        <v>284.72000000000003</v>
      </c>
      <c r="AN26" s="206">
        <v>278.7</v>
      </c>
      <c r="AO26" s="206">
        <v>299.39999999999998</v>
      </c>
      <c r="AP26" s="206">
        <v>301</v>
      </c>
      <c r="AQ26" s="206">
        <f>1194.6-SUM(AN26:AP26)</f>
        <v>315.5</v>
      </c>
      <c r="AR26" s="206">
        <f>AR17</f>
        <v>324.14</v>
      </c>
      <c r="AS26" s="206">
        <f>AS17</f>
        <v>339.45499999999998</v>
      </c>
      <c r="AT26" s="206">
        <f>AT17</f>
        <v>354.685</v>
      </c>
      <c r="AU26" s="206">
        <f>1403.665-SUM(AR26:AT26)</f>
        <v>385.38499999999999</v>
      </c>
      <c r="AV26" s="206">
        <f t="shared" ref="AV26:AW26" si="24">AV17</f>
        <v>374.75799999999998</v>
      </c>
      <c r="AW26" s="206">
        <f t="shared" si="24"/>
        <v>390.04599999999999</v>
      </c>
      <c r="AX26" s="208">
        <v>396</v>
      </c>
      <c r="AY26" s="208">
        <v>403</v>
      </c>
      <c r="AZ26" s="208">
        <v>412</v>
      </c>
      <c r="BA26" s="208"/>
      <c r="BB26" s="208"/>
      <c r="BC26" s="208"/>
      <c r="BH26" s="206">
        <f t="shared" ref="BH26:BH39" si="25">SUM(D26:G26)</f>
        <v>186.1</v>
      </c>
      <c r="BI26" s="206">
        <f t="shared" ref="BI26:BI39" si="26">SUM(H26:K26)</f>
        <v>263.29999999999995</v>
      </c>
      <c r="BJ26" s="206">
        <f t="shared" ref="BJ26:BJ39" si="27">SUM(L26:O26)</f>
        <v>333.8</v>
      </c>
      <c r="BK26" s="206">
        <f t="shared" ref="BK26:BK39" si="28">SUM(P26:S26)</f>
        <v>444.90000000000003</v>
      </c>
      <c r="BL26" s="206">
        <f>SUM(T26:W26)</f>
        <v>547.40300000000002</v>
      </c>
      <c r="BM26" s="206">
        <f>SUM(X26:AA26)</f>
        <v>560.41200000000003</v>
      </c>
      <c r="BN26" s="206">
        <f>SUM(AB26:AE26)</f>
        <v>747.59</v>
      </c>
      <c r="BO26" s="206">
        <f>SUM(AF26:AI26)</f>
        <v>847.13300000000004</v>
      </c>
      <c r="BP26" s="206">
        <f>SUM(AJ26:AM26)</f>
        <v>1058.52</v>
      </c>
      <c r="BQ26" s="206">
        <f>SUM(AN26:AQ26)</f>
        <v>1194.5999999999999</v>
      </c>
      <c r="BR26" s="206">
        <f t="shared" ref="BR26:BR41" si="29">SUM(AR26:AU26)</f>
        <v>1403.665</v>
      </c>
      <c r="BS26" s="224">
        <f t="shared" ref="BS26:CB26" si="30">BS6</f>
        <v>1624.0581699999998</v>
      </c>
      <c r="BT26" s="224">
        <f t="shared" si="30"/>
        <v>1847.8578895000001</v>
      </c>
      <c r="BU26" s="224">
        <f t="shared" si="30"/>
        <v>2082.9358044324999</v>
      </c>
      <c r="BV26" s="224">
        <f t="shared" si="30"/>
        <v>2311.4763546212498</v>
      </c>
      <c r="BW26" s="224">
        <f t="shared" si="30"/>
        <v>2540.8796914785962</v>
      </c>
      <c r="BX26" s="224">
        <f t="shared" si="30"/>
        <v>2770.2438096876635</v>
      </c>
      <c r="BY26" s="224">
        <f t="shared" si="30"/>
        <v>2988.4479864833324</v>
      </c>
      <c r="BZ26" s="224">
        <f t="shared" si="30"/>
        <v>3188.3316252895074</v>
      </c>
      <c r="CA26" s="224">
        <f t="shared" si="30"/>
        <v>3387.2844920709167</v>
      </c>
      <c r="CB26" s="224">
        <f t="shared" si="30"/>
        <v>3583.4189612982709</v>
      </c>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c r="CY26" s="208"/>
      <c r="CZ26" s="208"/>
      <c r="DA26" s="208"/>
      <c r="DB26" s="208"/>
      <c r="DC26" s="208"/>
      <c r="DD26" s="208"/>
      <c r="DE26" s="208"/>
      <c r="DF26" s="208"/>
      <c r="DG26" s="208"/>
      <c r="DH26" s="208"/>
      <c r="DI26" s="208"/>
      <c r="DJ26" s="208"/>
      <c r="DK26" s="208"/>
      <c r="DL26" s="208"/>
      <c r="DM26" s="208"/>
      <c r="DN26" s="208"/>
      <c r="DO26" s="208"/>
      <c r="DP26" s="208"/>
    </row>
    <row r="27" spans="3:120" ht="13.5" customHeight="1">
      <c r="C27" s="204" t="s">
        <v>535</v>
      </c>
      <c r="D27" s="223">
        <v>12.2</v>
      </c>
      <c r="E27" s="223">
        <v>14.9</v>
      </c>
      <c r="F27" s="223">
        <v>16.899999999999999</v>
      </c>
      <c r="G27" s="223">
        <v>18</v>
      </c>
      <c r="H27" s="223">
        <v>18</v>
      </c>
      <c r="I27" s="223">
        <v>23.6</v>
      </c>
      <c r="J27" s="223">
        <v>24.3</v>
      </c>
      <c r="K27" s="223">
        <v>26.5</v>
      </c>
      <c r="L27" s="223">
        <v>25.5</v>
      </c>
      <c r="M27" s="223">
        <v>29.7</v>
      </c>
      <c r="N27" s="223">
        <v>29.1</v>
      </c>
      <c r="O27" s="223">
        <v>32.299999999999997</v>
      </c>
      <c r="P27" s="223">
        <v>36.1</v>
      </c>
      <c r="Q27" s="223">
        <v>37.4</v>
      </c>
      <c r="R27" s="223">
        <v>36.799999999999997</v>
      </c>
      <c r="S27" s="223">
        <v>42.1</v>
      </c>
      <c r="T27" s="223">
        <v>44.529000000000003</v>
      </c>
      <c r="U27" s="223">
        <v>40.273000000000003</v>
      </c>
      <c r="V27" s="223">
        <v>43.503999999999998</v>
      </c>
      <c r="W27" s="223">
        <f>175.441-SUM(T27:V27)</f>
        <v>47.134999999999991</v>
      </c>
      <c r="X27" s="223">
        <v>49.3</v>
      </c>
      <c r="Y27" s="223">
        <v>40.200000000000003</v>
      </c>
      <c r="Z27" s="223">
        <v>60.152999999999999</v>
      </c>
      <c r="AA27" s="223">
        <f>222.237-SUM(X27:Z27)</f>
        <v>72.584000000000003</v>
      </c>
      <c r="AB27" s="223">
        <v>57.866999999999997</v>
      </c>
      <c r="AC27" s="223">
        <v>65.599999999999994</v>
      </c>
      <c r="AD27" s="223">
        <v>70.2</v>
      </c>
      <c r="AE27" s="223">
        <f>272.208-SUM(AB27:AD27)</f>
        <v>78.541000000000054</v>
      </c>
      <c r="AF27" s="223">
        <v>76.5</v>
      </c>
      <c r="AG27" s="223">
        <v>74.3</v>
      </c>
      <c r="AH27" s="223">
        <v>78.400000000000006</v>
      </c>
      <c r="AI27" s="223">
        <f>311.926-SUM(AF27:AH27)</f>
        <v>82.725999999999971</v>
      </c>
      <c r="AJ27" s="223">
        <v>90.3</v>
      </c>
      <c r="AK27" s="223">
        <v>94.6</v>
      </c>
      <c r="AL27" s="223">
        <v>93.2</v>
      </c>
      <c r="AM27" s="223">
        <f>375.9-SUM(AJ27:AL27)</f>
        <v>97.800000000000011</v>
      </c>
      <c r="AN27" s="223">
        <v>97.5</v>
      </c>
      <c r="AO27" s="223">
        <v>136.6</v>
      </c>
      <c r="AP27" s="223">
        <v>100.7</v>
      </c>
      <c r="AQ27" s="223">
        <f>439.6-SUM(AN27:AP27)</f>
        <v>104.80000000000001</v>
      </c>
      <c r="AR27" s="223">
        <v>108.25700000000001</v>
      </c>
      <c r="AS27" s="223">
        <v>115.44499999999999</v>
      </c>
      <c r="AT27" s="223">
        <v>114.26900000000001</v>
      </c>
      <c r="AU27" s="223">
        <f>461.228-SUM(AR27:AT27)</f>
        <v>123.25700000000001</v>
      </c>
      <c r="AV27" s="223">
        <v>121.34699999999999</v>
      </c>
      <c r="AW27" s="223">
        <v>125.102</v>
      </c>
      <c r="BH27" s="223">
        <f t="shared" si="25"/>
        <v>62</v>
      </c>
      <c r="BI27" s="223">
        <f t="shared" si="26"/>
        <v>92.4</v>
      </c>
      <c r="BJ27" s="223">
        <f t="shared" si="27"/>
        <v>116.60000000000001</v>
      </c>
      <c r="BK27" s="223">
        <f t="shared" si="28"/>
        <v>152.4</v>
      </c>
      <c r="BL27" s="223">
        <f>SUM(T27:W27)</f>
        <v>175.441</v>
      </c>
      <c r="BM27" s="223">
        <f>SUM(X27:AA27)</f>
        <v>222.23699999999999</v>
      </c>
      <c r="BN27" s="223">
        <f>SUM(AB27:AE27)</f>
        <v>272.20800000000003</v>
      </c>
      <c r="BO27" s="223">
        <f>SUM(AF27:AI27)</f>
        <v>311.92599999999999</v>
      </c>
      <c r="BP27" s="223">
        <f>SUM(AJ27:AM27)</f>
        <v>375.9</v>
      </c>
      <c r="BQ27" s="223">
        <f>SUM(AN27:AQ27)</f>
        <v>439.6</v>
      </c>
      <c r="BR27" s="223">
        <f t="shared" si="29"/>
        <v>461.22800000000001</v>
      </c>
      <c r="BS27" s="225">
        <f t="shared" ref="BS27:CB27" si="31">BS26*(1-BS43)</f>
        <v>535.93919609999989</v>
      </c>
      <c r="BT27" s="225">
        <f t="shared" si="31"/>
        <v>582.07523519249992</v>
      </c>
      <c r="BU27" s="225">
        <f t="shared" si="31"/>
        <v>645.71009937407507</v>
      </c>
      <c r="BV27" s="225">
        <f t="shared" si="31"/>
        <v>699.22159727292808</v>
      </c>
      <c r="BW27" s="225">
        <f t="shared" si="31"/>
        <v>762.263907443579</v>
      </c>
      <c r="BX27" s="225">
        <f t="shared" si="31"/>
        <v>828.30289909661155</v>
      </c>
      <c r="BY27" s="225">
        <f t="shared" si="31"/>
        <v>890.55749997203316</v>
      </c>
      <c r="BZ27" s="225">
        <f t="shared" si="31"/>
        <v>946.93449271098382</v>
      </c>
      <c r="CA27" s="225">
        <f t="shared" si="31"/>
        <v>1002.6362096529915</v>
      </c>
      <c r="CB27" s="225">
        <f t="shared" si="31"/>
        <v>1057.1085935829901</v>
      </c>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c r="CY27" s="225"/>
      <c r="CZ27" s="225"/>
      <c r="DA27" s="225"/>
      <c r="DB27" s="225"/>
      <c r="DC27" s="225"/>
      <c r="DD27" s="225"/>
      <c r="DE27" s="225"/>
      <c r="DF27" s="225"/>
      <c r="DG27" s="225"/>
      <c r="DH27" s="225"/>
      <c r="DI27" s="225"/>
      <c r="DJ27" s="225"/>
      <c r="DK27" s="225"/>
      <c r="DL27" s="225"/>
      <c r="DM27" s="225"/>
      <c r="DN27" s="225"/>
      <c r="DO27" s="225"/>
      <c r="DP27" s="225"/>
    </row>
    <row r="28" spans="3:120" ht="13.5" customHeight="1">
      <c r="C28" s="204" t="s">
        <v>287</v>
      </c>
      <c r="D28" s="205">
        <f t="shared" ref="D28:AO28" si="32">D26-D27</f>
        <v>26.8</v>
      </c>
      <c r="E28" s="205">
        <f t="shared" si="32"/>
        <v>27.4</v>
      </c>
      <c r="F28" s="205">
        <f t="shared" si="32"/>
        <v>33.5</v>
      </c>
      <c r="G28" s="205">
        <f t="shared" si="32"/>
        <v>36.4</v>
      </c>
      <c r="H28" s="205">
        <f t="shared" si="32"/>
        <v>39.9</v>
      </c>
      <c r="I28" s="205">
        <f t="shared" si="32"/>
        <v>41.499999999999993</v>
      </c>
      <c r="J28" s="205">
        <f t="shared" si="32"/>
        <v>42.900000000000006</v>
      </c>
      <c r="K28" s="205">
        <f t="shared" si="32"/>
        <v>46.599999999999994</v>
      </c>
      <c r="L28" s="205">
        <f t="shared" si="32"/>
        <v>47.7</v>
      </c>
      <c r="M28" s="205">
        <f t="shared" si="32"/>
        <v>50.899999999999991</v>
      </c>
      <c r="N28" s="205">
        <f t="shared" si="32"/>
        <v>54.800000000000004</v>
      </c>
      <c r="O28" s="205">
        <f t="shared" si="32"/>
        <v>63.8</v>
      </c>
      <c r="P28" s="205">
        <f t="shared" si="32"/>
        <v>66.599999999999994</v>
      </c>
      <c r="Q28" s="205">
        <f t="shared" si="32"/>
        <v>72.199999999999989</v>
      </c>
      <c r="R28" s="205">
        <f t="shared" si="32"/>
        <v>75</v>
      </c>
      <c r="S28" s="205">
        <f t="shared" si="32"/>
        <v>78.699999999999989</v>
      </c>
      <c r="T28" s="223">
        <f t="shared" si="32"/>
        <v>83.91</v>
      </c>
      <c r="U28" s="223">
        <f t="shared" si="32"/>
        <v>93.927999999999997</v>
      </c>
      <c r="V28" s="223">
        <f t="shared" si="32"/>
        <v>95.998000000000019</v>
      </c>
      <c r="W28" s="223">
        <f t="shared" si="32"/>
        <v>98.12600000000009</v>
      </c>
      <c r="X28" s="223">
        <f t="shared" si="32"/>
        <v>88.000000000000014</v>
      </c>
      <c r="Y28" s="223">
        <f t="shared" si="32"/>
        <v>64.899999999999991</v>
      </c>
      <c r="Z28" s="223">
        <f t="shared" si="32"/>
        <v>90.947000000000003</v>
      </c>
      <c r="AA28" s="223">
        <f>AA26-AA27</f>
        <v>94.328000000000031</v>
      </c>
      <c r="AB28" s="223">
        <f t="shared" si="32"/>
        <v>111.333</v>
      </c>
      <c r="AC28" s="223">
        <f t="shared" si="32"/>
        <v>118.70000000000002</v>
      </c>
      <c r="AD28" s="223">
        <f t="shared" si="32"/>
        <v>119.89999999999999</v>
      </c>
      <c r="AE28" s="223">
        <f t="shared" si="32"/>
        <v>125.44899999999996</v>
      </c>
      <c r="AF28" s="223">
        <f t="shared" si="32"/>
        <v>127.4</v>
      </c>
      <c r="AG28" s="223">
        <f t="shared" si="32"/>
        <v>134</v>
      </c>
      <c r="AH28" s="223">
        <f t="shared" si="32"/>
        <v>135.29999999999998</v>
      </c>
      <c r="AI28" s="223">
        <f t="shared" si="32"/>
        <v>138.50699999999998</v>
      </c>
      <c r="AJ28" s="223">
        <f t="shared" si="32"/>
        <v>151.10000000000002</v>
      </c>
      <c r="AK28" s="223">
        <f t="shared" si="32"/>
        <v>166.9</v>
      </c>
      <c r="AL28" s="223">
        <f t="shared" si="32"/>
        <v>177.7</v>
      </c>
      <c r="AM28" s="223">
        <f t="shared" si="32"/>
        <v>186.92000000000002</v>
      </c>
      <c r="AN28" s="223">
        <f t="shared" si="32"/>
        <v>181.2</v>
      </c>
      <c r="AO28" s="223">
        <f t="shared" si="32"/>
        <v>162.79999999999998</v>
      </c>
      <c r="AP28" s="223">
        <f>AP26-AP27</f>
        <v>200.3</v>
      </c>
      <c r="AQ28" s="223">
        <f t="shared" ref="AQ28" si="33">AQ26-AQ27</f>
        <v>210.7</v>
      </c>
      <c r="AR28" s="223">
        <f>AR26-AR27</f>
        <v>215.88299999999998</v>
      </c>
      <c r="AS28" s="223">
        <f>AS26-AS27</f>
        <v>224.01</v>
      </c>
      <c r="AT28" s="223">
        <f>AT26-AT27</f>
        <v>240.416</v>
      </c>
      <c r="AU28" s="223">
        <f t="shared" ref="AU28:AW28" si="34">AU26-AU27</f>
        <v>262.12799999999999</v>
      </c>
      <c r="AV28" s="223">
        <f t="shared" si="34"/>
        <v>253.411</v>
      </c>
      <c r="AW28" s="223">
        <f t="shared" si="34"/>
        <v>264.94399999999996</v>
      </c>
      <c r="BH28" s="223">
        <f t="shared" si="25"/>
        <v>124.1</v>
      </c>
      <c r="BI28" s="223">
        <f t="shared" si="26"/>
        <v>170.89999999999998</v>
      </c>
      <c r="BJ28" s="223">
        <f t="shared" si="27"/>
        <v>217.2</v>
      </c>
      <c r="BK28" s="223">
        <f t="shared" si="28"/>
        <v>292.5</v>
      </c>
      <c r="BL28" s="223">
        <f t="shared" ref="BL28:BP28" si="35">BL26-BL27</f>
        <v>371.96199999999999</v>
      </c>
      <c r="BM28" s="223">
        <f t="shared" si="35"/>
        <v>338.17500000000007</v>
      </c>
      <c r="BN28" s="223">
        <f t="shared" si="35"/>
        <v>475.38200000000001</v>
      </c>
      <c r="BO28" s="223">
        <f t="shared" si="35"/>
        <v>535.20700000000011</v>
      </c>
      <c r="BP28" s="223">
        <f t="shared" si="35"/>
        <v>682.62</v>
      </c>
      <c r="BQ28" s="223">
        <f>BQ26-BQ27</f>
        <v>754.99999999999989</v>
      </c>
      <c r="BR28" s="223">
        <f t="shared" si="29"/>
        <v>942.4369999999999</v>
      </c>
      <c r="BS28" s="225">
        <f t="shared" ref="BS28:CB28" si="36">BS26-BS27</f>
        <v>1088.1189738999999</v>
      </c>
      <c r="BT28" s="225">
        <f t="shared" si="36"/>
        <v>1265.7826543075003</v>
      </c>
      <c r="BU28" s="225">
        <f t="shared" si="36"/>
        <v>1437.2257050584249</v>
      </c>
      <c r="BV28" s="225">
        <f t="shared" si="36"/>
        <v>1612.2547573483216</v>
      </c>
      <c r="BW28" s="225">
        <f t="shared" si="36"/>
        <v>1778.6157840350172</v>
      </c>
      <c r="BX28" s="225">
        <f t="shared" si="36"/>
        <v>1941.940910591052</v>
      </c>
      <c r="BY28" s="225">
        <f t="shared" si="36"/>
        <v>2097.8904865112991</v>
      </c>
      <c r="BZ28" s="225">
        <f t="shared" si="36"/>
        <v>2241.3971325785237</v>
      </c>
      <c r="CA28" s="225">
        <f t="shared" si="36"/>
        <v>2384.6482824179252</v>
      </c>
      <c r="CB28" s="225">
        <f t="shared" si="36"/>
        <v>2526.3103677152808</v>
      </c>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c r="CY28" s="225"/>
      <c r="CZ28" s="225"/>
      <c r="DA28" s="225"/>
      <c r="DB28" s="225"/>
      <c r="DC28" s="225"/>
      <c r="DD28" s="225"/>
      <c r="DE28" s="225"/>
      <c r="DF28" s="225"/>
      <c r="DG28" s="225"/>
      <c r="DH28" s="225"/>
      <c r="DI28" s="225"/>
      <c r="DJ28" s="225"/>
      <c r="DK28" s="225"/>
      <c r="DL28" s="225"/>
      <c r="DM28" s="225"/>
      <c r="DN28" s="225"/>
      <c r="DO28" s="225"/>
      <c r="DP28" s="225"/>
    </row>
    <row r="29" spans="3:120" ht="13.5" customHeight="1">
      <c r="C29" s="204" t="s">
        <v>288</v>
      </c>
      <c r="D29" s="223">
        <v>3.2</v>
      </c>
      <c r="E29" s="223">
        <v>4.8</v>
      </c>
      <c r="F29" s="223">
        <v>4.5999999999999996</v>
      </c>
      <c r="G29" s="223">
        <v>5.5</v>
      </c>
      <c r="H29" s="223">
        <v>5</v>
      </c>
      <c r="I29" s="223">
        <v>6.3</v>
      </c>
      <c r="J29" s="223">
        <v>6.5</v>
      </c>
      <c r="K29" s="223">
        <v>6.1</v>
      </c>
      <c r="L29" s="223">
        <v>7</v>
      </c>
      <c r="M29" s="223">
        <v>8.1</v>
      </c>
      <c r="N29" s="223">
        <v>8.1</v>
      </c>
      <c r="O29" s="223">
        <v>8.4</v>
      </c>
      <c r="P29" s="223">
        <v>8</v>
      </c>
      <c r="Q29" s="223">
        <v>8.1999999999999993</v>
      </c>
      <c r="R29" s="223">
        <v>39.9</v>
      </c>
      <c r="S29" s="223">
        <v>10.9</v>
      </c>
      <c r="T29" s="223">
        <v>11.667</v>
      </c>
      <c r="U29" s="223">
        <v>13.462</v>
      </c>
      <c r="V29" s="223">
        <v>13.733000000000001</v>
      </c>
      <c r="W29" s="223">
        <f>51.723-SUM(T29:V29)</f>
        <v>12.861000000000004</v>
      </c>
      <c r="X29" s="223">
        <v>12.946</v>
      </c>
      <c r="Y29" s="223">
        <v>22.725000000000001</v>
      </c>
      <c r="Z29" s="223">
        <v>34.923000000000002</v>
      </c>
      <c r="AA29" s="223">
        <f>90.049-SUM(X29:Z29)</f>
        <v>19.455000000000013</v>
      </c>
      <c r="AB29" s="223">
        <v>18.076000000000001</v>
      </c>
      <c r="AC29" s="223">
        <v>17.738</v>
      </c>
      <c r="AD29" s="223">
        <v>16.73</v>
      </c>
      <c r="AE29" s="223">
        <f>104.552-SUM(AB29:AD29)</f>
        <v>52.00800000000001</v>
      </c>
      <c r="AF29" s="223">
        <v>20.56</v>
      </c>
      <c r="AG29" s="223">
        <v>19.559000000000001</v>
      </c>
      <c r="AH29" s="223">
        <v>21.32</v>
      </c>
      <c r="AI29" s="223">
        <f>79.407-SUM(AF29:AH29)</f>
        <v>17.967999999999996</v>
      </c>
      <c r="AJ29" s="223">
        <v>19.98</v>
      </c>
      <c r="AK29" s="223">
        <v>21.5</v>
      </c>
      <c r="AL29" s="223">
        <v>21</v>
      </c>
      <c r="AM29" s="223">
        <f>84.4-SUM(AJ29:AL29)</f>
        <v>21.92</v>
      </c>
      <c r="AN29" s="223">
        <v>24.6</v>
      </c>
      <c r="AO29" s="223">
        <v>24.9</v>
      </c>
      <c r="AP29" s="223">
        <v>25.2</v>
      </c>
      <c r="AQ29" s="223">
        <f>94.8-SUM(AN29:AP29)</f>
        <v>20.099999999999994</v>
      </c>
      <c r="AR29" s="223">
        <v>22.077000000000002</v>
      </c>
      <c r="AS29" s="223">
        <v>23.218</v>
      </c>
      <c r="AT29" s="223">
        <v>22.677</v>
      </c>
      <c r="AU29" s="223">
        <f>89.766-SUM(AR29:AT29)</f>
        <v>21.793999999999997</v>
      </c>
      <c r="AV29" s="223">
        <v>22.382000000000001</v>
      </c>
      <c r="AW29" s="223">
        <v>25.396000000000001</v>
      </c>
      <c r="BH29" s="223">
        <f t="shared" si="25"/>
        <v>18.100000000000001</v>
      </c>
      <c r="BI29" s="223">
        <f t="shared" si="26"/>
        <v>23.9</v>
      </c>
      <c r="BJ29" s="223">
        <f t="shared" si="27"/>
        <v>31.6</v>
      </c>
      <c r="BK29" s="223">
        <f t="shared" si="28"/>
        <v>67</v>
      </c>
      <c r="BL29" s="223">
        <f>SUM(T29:W29)</f>
        <v>51.722999999999999</v>
      </c>
      <c r="BM29" s="223">
        <f>SUM(X29:AA29)</f>
        <v>90.049000000000007</v>
      </c>
      <c r="BN29" s="223">
        <f>SUM(AB29:AE29)</f>
        <v>104.55200000000001</v>
      </c>
      <c r="BO29" s="223">
        <f>SUM(AF29:AI29)</f>
        <v>79.406999999999996</v>
      </c>
      <c r="BP29" s="223">
        <f>SUM(AJ29:AM29)</f>
        <v>84.4</v>
      </c>
      <c r="BQ29" s="223">
        <f>SUM(AN29:AQ29)</f>
        <v>94.8</v>
      </c>
      <c r="BR29" s="223">
        <f t="shared" si="29"/>
        <v>89.766000000000005</v>
      </c>
      <c r="BS29" s="225">
        <f t="shared" ref="BS29:CB29" si="37">BS26*BS44</f>
        <v>126.67653725999999</v>
      </c>
      <c r="BT29" s="225">
        <f t="shared" si="37"/>
        <v>145.98077327050001</v>
      </c>
      <c r="BU29" s="225">
        <f t="shared" si="37"/>
        <v>166.63486435460001</v>
      </c>
      <c r="BV29" s="225">
        <f t="shared" si="37"/>
        <v>196.47549014280625</v>
      </c>
      <c r="BW29" s="225">
        <f t="shared" si="37"/>
        <v>215.97477377568069</v>
      </c>
      <c r="BX29" s="225">
        <f t="shared" si="37"/>
        <v>249.32194287188972</v>
      </c>
      <c r="BY29" s="225">
        <f t="shared" si="37"/>
        <v>298.84479864833327</v>
      </c>
      <c r="BZ29" s="225">
        <f t="shared" si="37"/>
        <v>318.83316252895077</v>
      </c>
      <c r="CA29" s="225">
        <f t="shared" si="37"/>
        <v>338.72844920709167</v>
      </c>
      <c r="CB29" s="225">
        <f t="shared" si="37"/>
        <v>358.34189612982709</v>
      </c>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c r="CY29" s="225"/>
      <c r="CZ29" s="225"/>
      <c r="DA29" s="225"/>
      <c r="DB29" s="225"/>
      <c r="DC29" s="225"/>
      <c r="DD29" s="225"/>
      <c r="DE29" s="225"/>
      <c r="DF29" s="225"/>
      <c r="DG29" s="225"/>
      <c r="DH29" s="225"/>
      <c r="DI29" s="225"/>
      <c r="DJ29" s="225"/>
      <c r="DK29" s="225"/>
      <c r="DL29" s="225"/>
      <c r="DM29" s="225"/>
      <c r="DN29" s="225"/>
      <c r="DO29" s="225"/>
      <c r="DP29" s="225"/>
    </row>
    <row r="30" spans="3:120" ht="13.5" customHeight="1">
      <c r="C30" s="204" t="s">
        <v>289</v>
      </c>
      <c r="D30" s="223">
        <v>19.5</v>
      </c>
      <c r="E30" s="223">
        <v>26.4</v>
      </c>
      <c r="F30" s="223">
        <v>26.8</v>
      </c>
      <c r="G30" s="223">
        <v>29.2</v>
      </c>
      <c r="H30" s="223">
        <v>33.1</v>
      </c>
      <c r="I30" s="223">
        <v>35.9</v>
      </c>
      <c r="J30" s="223">
        <v>37.700000000000003</v>
      </c>
      <c r="K30" s="223">
        <v>41.6</v>
      </c>
      <c r="L30" s="223">
        <v>42.7</v>
      </c>
      <c r="M30" s="223">
        <v>44.2</v>
      </c>
      <c r="N30" s="223">
        <v>46</v>
      </c>
      <c r="O30" s="223">
        <v>51.5</v>
      </c>
      <c r="P30" s="223">
        <v>54.5</v>
      </c>
      <c r="Q30" s="223">
        <v>54.8</v>
      </c>
      <c r="R30" s="223">
        <v>55.9</v>
      </c>
      <c r="S30" s="223">
        <v>61.2</v>
      </c>
      <c r="T30" s="223">
        <v>61.091000000000001</v>
      </c>
      <c r="U30" s="223">
        <v>67.665000000000006</v>
      </c>
      <c r="V30" s="223">
        <v>69.289000000000001</v>
      </c>
      <c r="W30" s="223">
        <f>272.733-SUM(T30:V30)</f>
        <v>74.687999999999988</v>
      </c>
      <c r="X30" s="223">
        <v>74.453000000000003</v>
      </c>
      <c r="Y30" s="223">
        <v>59.8</v>
      </c>
      <c r="Z30" s="223">
        <v>76.2</v>
      </c>
      <c r="AA30" s="223">
        <f>287.068-SUM(X30:Z30)</f>
        <v>76.615000000000009</v>
      </c>
      <c r="AB30" s="223">
        <v>79.798000000000002</v>
      </c>
      <c r="AC30" s="223">
        <v>90.63</v>
      </c>
      <c r="AD30" s="223">
        <v>94.397000000000006</v>
      </c>
      <c r="AE30" s="223">
        <f>378.331-SUM(AB30:AD30)</f>
        <v>113.50600000000003</v>
      </c>
      <c r="AF30" s="223">
        <v>110.9</v>
      </c>
      <c r="AG30" s="223">
        <v>114.61499999999999</v>
      </c>
      <c r="AH30" s="223">
        <v>108.57</v>
      </c>
      <c r="AI30" s="223">
        <f>449.718-SUM(AF30:AH30)</f>
        <v>115.63300000000004</v>
      </c>
      <c r="AJ30" s="223">
        <v>123.07</v>
      </c>
      <c r="AK30" s="223">
        <v>127.4</v>
      </c>
      <c r="AL30" s="223">
        <v>125.9</v>
      </c>
      <c r="AM30" s="223">
        <f>506.4-SUM(AJ30:AL30)</f>
        <v>130.02999999999997</v>
      </c>
      <c r="AN30" s="223">
        <v>144.4</v>
      </c>
      <c r="AO30" s="223">
        <v>141.9</v>
      </c>
      <c r="AP30" s="223">
        <v>139.69999999999999</v>
      </c>
      <c r="AQ30" s="223">
        <f>574-SUM(AN30:AP30)</f>
        <v>148</v>
      </c>
      <c r="AR30" s="223">
        <v>153.45599999999999</v>
      </c>
      <c r="AS30" s="223">
        <v>159.964</v>
      </c>
      <c r="AT30" s="223">
        <v>168.90100000000001</v>
      </c>
      <c r="AU30" s="223">
        <f>663.422-SUM(AR30:AT30)</f>
        <v>181.10100000000006</v>
      </c>
      <c r="AV30" s="223">
        <v>192.79499999999999</v>
      </c>
      <c r="AW30" s="223">
        <v>198.50899999999999</v>
      </c>
      <c r="BH30" s="223">
        <f t="shared" si="25"/>
        <v>101.9</v>
      </c>
      <c r="BI30" s="223">
        <f t="shared" si="26"/>
        <v>148.30000000000001</v>
      </c>
      <c r="BJ30" s="223">
        <f t="shared" si="27"/>
        <v>184.4</v>
      </c>
      <c r="BK30" s="223">
        <f t="shared" si="28"/>
        <v>226.39999999999998</v>
      </c>
      <c r="BL30" s="223">
        <f>SUM(T30:W30)</f>
        <v>272.733</v>
      </c>
      <c r="BM30" s="223">
        <f>SUM(X30:AA30)</f>
        <v>287.06799999999998</v>
      </c>
      <c r="BN30" s="223">
        <f>SUM(AB30:AE30)</f>
        <v>378.33100000000002</v>
      </c>
      <c r="BO30" s="223">
        <f>SUM(AF30:AI30)</f>
        <v>449.71800000000002</v>
      </c>
      <c r="BP30" s="223">
        <f>SUM(AJ30:AM30)</f>
        <v>506.4</v>
      </c>
      <c r="BQ30" s="223">
        <f>SUM(AN30:AQ30)</f>
        <v>574</v>
      </c>
      <c r="BR30" s="223">
        <f t="shared" si="29"/>
        <v>663.42200000000003</v>
      </c>
      <c r="BS30" s="225">
        <f t="shared" ref="BS30:CB30" si="38">BS26*BS45</f>
        <v>771.42763074999982</v>
      </c>
      <c r="BT30" s="225">
        <f t="shared" si="38"/>
        <v>850.01462917000003</v>
      </c>
      <c r="BU30" s="225">
        <f t="shared" si="38"/>
        <v>943.5699194079225</v>
      </c>
      <c r="BV30" s="225">
        <f t="shared" si="38"/>
        <v>1033.2299305156987</v>
      </c>
      <c r="BW30" s="225">
        <f t="shared" si="38"/>
        <v>1125.6097033250182</v>
      </c>
      <c r="BX30" s="225">
        <f t="shared" si="38"/>
        <v>1218.9072762625719</v>
      </c>
      <c r="BY30" s="225">
        <f t="shared" si="38"/>
        <v>1296.9864261337664</v>
      </c>
      <c r="BZ30" s="225">
        <f t="shared" si="38"/>
        <v>1370.9825988744881</v>
      </c>
      <c r="CA30" s="225">
        <f t="shared" si="38"/>
        <v>1439.5959091301395</v>
      </c>
      <c r="CB30" s="225">
        <f t="shared" si="38"/>
        <v>1505.0359637452736</v>
      </c>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c r="CY30" s="225"/>
      <c r="CZ30" s="225"/>
      <c r="DA30" s="225"/>
      <c r="DB30" s="225"/>
      <c r="DC30" s="225"/>
      <c r="DD30" s="225"/>
      <c r="DE30" s="225"/>
      <c r="DF30" s="225"/>
      <c r="DG30" s="225"/>
      <c r="DH30" s="225"/>
      <c r="DI30" s="225"/>
      <c r="DJ30" s="225"/>
      <c r="DK30" s="225"/>
      <c r="DL30" s="225"/>
      <c r="DM30" s="225"/>
      <c r="DN30" s="225"/>
      <c r="DO30" s="225"/>
      <c r="DP30" s="225"/>
    </row>
    <row r="31" spans="3:120" ht="13.5" customHeight="1">
      <c r="C31" s="204" t="s">
        <v>290</v>
      </c>
      <c r="D31" s="223">
        <v>0</v>
      </c>
      <c r="E31" s="223">
        <v>0</v>
      </c>
      <c r="F31" s="223">
        <v>0</v>
      </c>
      <c r="G31" s="223">
        <v>0</v>
      </c>
      <c r="H31" s="223">
        <v>0</v>
      </c>
      <c r="I31" s="223">
        <v>0</v>
      </c>
      <c r="J31" s="223">
        <v>0</v>
      </c>
      <c r="K31" s="223">
        <v>0</v>
      </c>
      <c r="L31" s="223">
        <v>0</v>
      </c>
      <c r="M31" s="223">
        <v>0</v>
      </c>
      <c r="N31" s="223">
        <v>0</v>
      </c>
      <c r="O31" s="223">
        <v>0</v>
      </c>
      <c r="P31" s="223">
        <v>0</v>
      </c>
      <c r="Q31" s="223">
        <v>0</v>
      </c>
      <c r="R31" s="223">
        <v>0</v>
      </c>
      <c r="S31" s="223">
        <v>0</v>
      </c>
      <c r="T31" s="223">
        <v>0</v>
      </c>
      <c r="U31" s="223">
        <v>0</v>
      </c>
      <c r="V31" s="223">
        <v>0</v>
      </c>
      <c r="W31" s="223">
        <f>0-SUM(T31:V31)</f>
        <v>0</v>
      </c>
      <c r="X31" s="223">
        <v>0</v>
      </c>
      <c r="Y31" s="223">
        <v>0</v>
      </c>
      <c r="Z31" s="223">
        <v>0</v>
      </c>
      <c r="AA31" s="223">
        <f>0-SUM(X31:Z31)</f>
        <v>0</v>
      </c>
      <c r="AB31" s="223">
        <v>0</v>
      </c>
      <c r="AC31" s="223">
        <v>0</v>
      </c>
      <c r="AD31" s="223">
        <v>0</v>
      </c>
      <c r="AE31" s="223">
        <f>0-SUM(AB31:AD31)</f>
        <v>0</v>
      </c>
      <c r="AF31" s="223">
        <v>0</v>
      </c>
      <c r="AG31" s="223">
        <v>0</v>
      </c>
      <c r="AH31" s="223">
        <v>0</v>
      </c>
      <c r="AI31" s="223">
        <f>0-SUM(AF31:AH31)</f>
        <v>0</v>
      </c>
      <c r="AJ31" s="223">
        <v>0</v>
      </c>
      <c r="AK31" s="223">
        <v>0</v>
      </c>
      <c r="AL31" s="223">
        <v>18.2</v>
      </c>
      <c r="AM31" s="223">
        <f>18.2-SUM(AJ31:AL31)</f>
        <v>0</v>
      </c>
      <c r="AN31" s="223">
        <v>0</v>
      </c>
      <c r="AO31" s="223">
        <v>0</v>
      </c>
      <c r="AP31" s="223">
        <v>0</v>
      </c>
      <c r="AQ31" s="223">
        <f>0-SUM(AN31:AP31)</f>
        <v>0</v>
      </c>
      <c r="AR31" s="223">
        <v>0</v>
      </c>
      <c r="AS31" s="223">
        <v>0</v>
      </c>
      <c r="AT31" s="223">
        <v>0</v>
      </c>
      <c r="AU31" s="223">
        <f>0-SUM(AR31:AT31)</f>
        <v>0</v>
      </c>
      <c r="AV31" s="223">
        <v>0</v>
      </c>
      <c r="AW31" s="223">
        <v>0</v>
      </c>
      <c r="BH31" s="223">
        <f t="shared" si="25"/>
        <v>0</v>
      </c>
      <c r="BI31" s="223">
        <f t="shared" si="26"/>
        <v>0</v>
      </c>
      <c r="BJ31" s="223">
        <f t="shared" si="27"/>
        <v>0</v>
      </c>
      <c r="BK31" s="223">
        <f t="shared" si="28"/>
        <v>0</v>
      </c>
      <c r="BL31" s="223">
        <f>SUM(T31:W31)</f>
        <v>0</v>
      </c>
      <c r="BM31" s="223">
        <f>SUM(X31:AA31)</f>
        <v>0</v>
      </c>
      <c r="BN31" s="223">
        <f>SUM(AB31:AE31)</f>
        <v>0</v>
      </c>
      <c r="BO31" s="223">
        <f>SUM(AF31:AI31)</f>
        <v>0</v>
      </c>
      <c r="BP31" s="223">
        <f>SUM(AJ31:AM31)</f>
        <v>18.2</v>
      </c>
      <c r="BQ31" s="223">
        <f>SUM(AN31:AQ31)</f>
        <v>0</v>
      </c>
      <c r="BR31" s="223">
        <f t="shared" si="29"/>
        <v>0</v>
      </c>
      <c r="BS31" s="225">
        <v>0</v>
      </c>
      <c r="BT31" s="225">
        <v>0</v>
      </c>
      <c r="BU31" s="225">
        <v>0</v>
      </c>
      <c r="BV31" s="225">
        <v>0</v>
      </c>
      <c r="BW31" s="225">
        <v>0</v>
      </c>
      <c r="BX31" s="225">
        <v>0</v>
      </c>
      <c r="BY31" s="225">
        <v>0</v>
      </c>
      <c r="BZ31" s="225">
        <v>0</v>
      </c>
      <c r="CA31" s="225">
        <v>0</v>
      </c>
      <c r="CB31" s="225">
        <v>0</v>
      </c>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row>
    <row r="32" spans="3:120" ht="13.5" customHeight="1">
      <c r="C32" s="204" t="s">
        <v>291</v>
      </c>
      <c r="D32" s="223">
        <v>0.1</v>
      </c>
      <c r="E32" s="223">
        <f>31.2-SUM(E29:E31)</f>
        <v>0</v>
      </c>
      <c r="F32" s="223">
        <f>31.3-SUM(F29:F31)</f>
        <v>-9.9999999999997868E-2</v>
      </c>
      <c r="G32" s="223">
        <f>34.6-SUM(G29:G31)</f>
        <v>-0.10000000000000142</v>
      </c>
      <c r="H32" s="223">
        <f>38.1-SUM(H29:H31)</f>
        <v>0</v>
      </c>
      <c r="I32" s="223">
        <v>0</v>
      </c>
      <c r="J32" s="223">
        <v>0.1</v>
      </c>
      <c r="K32" s="223">
        <v>0.1</v>
      </c>
      <c r="L32" s="223">
        <v>0</v>
      </c>
      <c r="M32" s="223">
        <v>-0.1</v>
      </c>
      <c r="N32" s="223">
        <v>0</v>
      </c>
      <c r="O32" s="223">
        <v>0</v>
      </c>
      <c r="P32" s="223">
        <v>0.1</v>
      </c>
      <c r="Q32" s="223">
        <v>-0.1</v>
      </c>
      <c r="R32" s="223">
        <v>0</v>
      </c>
      <c r="S32" s="223">
        <v>-0.1</v>
      </c>
      <c r="T32" s="223">
        <v>0</v>
      </c>
      <c r="U32" s="223">
        <v>0</v>
      </c>
      <c r="V32" s="223">
        <v>0</v>
      </c>
      <c r="W32" s="223">
        <f>0-SUM(T32:V32)</f>
        <v>0</v>
      </c>
      <c r="X32" s="223">
        <v>0</v>
      </c>
      <c r="Y32" s="223">
        <v>0</v>
      </c>
      <c r="Z32" s="223">
        <v>0</v>
      </c>
      <c r="AA32" s="223">
        <f>0-SUM(X32:Z32)</f>
        <v>0</v>
      </c>
      <c r="AB32" s="223">
        <v>0</v>
      </c>
      <c r="AC32" s="223">
        <v>0</v>
      </c>
      <c r="AD32" s="223">
        <v>0</v>
      </c>
      <c r="AE32" s="223">
        <f>0-SUM(AB32:AD32)</f>
        <v>0</v>
      </c>
      <c r="AF32" s="223">
        <v>0</v>
      </c>
      <c r="AG32" s="223">
        <v>0</v>
      </c>
      <c r="AH32" s="223">
        <v>0</v>
      </c>
      <c r="AI32" s="223">
        <f>0-SUM(AF32:AH32)</f>
        <v>0</v>
      </c>
      <c r="AJ32" s="223">
        <v>0</v>
      </c>
      <c r="AK32" s="223">
        <v>0</v>
      </c>
      <c r="AL32" s="223">
        <v>0</v>
      </c>
      <c r="AM32" s="223">
        <f>0-SUM(AJ32:AL32)</f>
        <v>0</v>
      </c>
      <c r="AN32" s="223">
        <v>0</v>
      </c>
      <c r="AO32" s="223">
        <v>76.900000000000006</v>
      </c>
      <c r="AP32" s="223">
        <v>0</v>
      </c>
      <c r="AQ32" s="223">
        <f>76.94-SUM(AN32:AP32)</f>
        <v>3.9999999999992042E-2</v>
      </c>
      <c r="AR32" s="223">
        <v>0</v>
      </c>
      <c r="AS32" s="223">
        <v>0</v>
      </c>
      <c r="AT32" s="223">
        <v>0</v>
      </c>
      <c r="AU32" s="223">
        <f>0-SUM(AR32:AT32)</f>
        <v>0</v>
      </c>
      <c r="AV32" s="223">
        <v>0</v>
      </c>
      <c r="AW32" s="223">
        <v>0</v>
      </c>
      <c r="BH32" s="223">
        <f t="shared" si="25"/>
        <v>-9.9999999999999284E-2</v>
      </c>
      <c r="BI32" s="223">
        <f t="shared" si="26"/>
        <v>0.2</v>
      </c>
      <c r="BJ32" s="223">
        <f t="shared" si="27"/>
        <v>-0.1</v>
      </c>
      <c r="BK32" s="223">
        <f t="shared" si="28"/>
        <v>-0.1</v>
      </c>
      <c r="BL32" s="223">
        <f>SUM(T32:W32)</f>
        <v>0</v>
      </c>
      <c r="BM32" s="223">
        <f>SUM(X32:AA32)</f>
        <v>0</v>
      </c>
      <c r="BN32" s="223">
        <f>SUM(AB32:AE32)</f>
        <v>0</v>
      </c>
      <c r="BO32" s="223">
        <f>SUM(AF32:AI32)</f>
        <v>0</v>
      </c>
      <c r="BP32" s="223">
        <f>SUM(AJ32:AM32)</f>
        <v>0</v>
      </c>
      <c r="BQ32" s="223">
        <f>SUM(AN32:AQ32)</f>
        <v>76.94</v>
      </c>
      <c r="BR32" s="223">
        <f t="shared" si="29"/>
        <v>0</v>
      </c>
      <c r="BS32" s="225">
        <v>115.3</v>
      </c>
      <c r="BT32" s="225">
        <v>0</v>
      </c>
      <c r="BU32" s="225">
        <v>0</v>
      </c>
      <c r="BV32" s="225">
        <v>0</v>
      </c>
      <c r="BW32" s="225">
        <v>0</v>
      </c>
      <c r="BX32" s="225">
        <v>0</v>
      </c>
      <c r="BY32" s="225">
        <v>0</v>
      </c>
      <c r="BZ32" s="225">
        <v>0</v>
      </c>
      <c r="CA32" s="225">
        <v>0</v>
      </c>
      <c r="CB32" s="225">
        <v>0</v>
      </c>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c r="CY32" s="225"/>
      <c r="CZ32" s="225"/>
      <c r="DA32" s="225"/>
      <c r="DB32" s="225"/>
      <c r="DC32" s="225"/>
      <c r="DD32" s="225"/>
      <c r="DE32" s="225"/>
      <c r="DF32" s="225"/>
      <c r="DG32" s="225"/>
      <c r="DH32" s="225"/>
      <c r="DI32" s="225"/>
      <c r="DJ32" s="225"/>
      <c r="DK32" s="225"/>
      <c r="DL32" s="225"/>
      <c r="DM32" s="225"/>
      <c r="DN32" s="225"/>
      <c r="DO32" s="225"/>
      <c r="DP32" s="225"/>
    </row>
    <row r="33" spans="3:120" ht="13.5" customHeight="1">
      <c r="C33" s="204" t="s">
        <v>292</v>
      </c>
      <c r="D33" s="223">
        <f t="shared" ref="D33:U33" si="39">D28-SUM(D29:D32)</f>
        <v>4</v>
      </c>
      <c r="E33" s="223">
        <f t="shared" si="39"/>
        <v>-3.8000000000000007</v>
      </c>
      <c r="F33" s="223">
        <f t="shared" si="39"/>
        <v>2.1999999999999993</v>
      </c>
      <c r="G33" s="223">
        <f t="shared" si="39"/>
        <v>1.7999999999999972</v>
      </c>
      <c r="H33" s="223">
        <f t="shared" si="39"/>
        <v>1.7999999999999972</v>
      </c>
      <c r="I33" s="223">
        <f t="shared" si="39"/>
        <v>-0.70000000000000284</v>
      </c>
      <c r="J33" s="223">
        <f t="shared" si="39"/>
        <v>-1.3999999999999986</v>
      </c>
      <c r="K33" s="223">
        <f t="shared" si="39"/>
        <v>-1.2000000000000099</v>
      </c>
      <c r="L33" s="223">
        <f t="shared" si="39"/>
        <v>-2</v>
      </c>
      <c r="M33" s="223">
        <f t="shared" si="39"/>
        <v>-1.3000000000000114</v>
      </c>
      <c r="N33" s="223">
        <f t="shared" si="39"/>
        <v>0.70000000000000284</v>
      </c>
      <c r="O33" s="223">
        <f t="shared" si="39"/>
        <v>3.8999999999999986</v>
      </c>
      <c r="P33" s="223">
        <f t="shared" si="39"/>
        <v>3.9999999999999929</v>
      </c>
      <c r="Q33" s="223">
        <f t="shared" si="39"/>
        <v>9.2999999999999901</v>
      </c>
      <c r="R33" s="223">
        <f t="shared" si="39"/>
        <v>-20.799999999999997</v>
      </c>
      <c r="S33" s="223">
        <f t="shared" si="39"/>
        <v>6.6999999999999744</v>
      </c>
      <c r="T33" s="223">
        <f t="shared" si="39"/>
        <v>11.152000000000001</v>
      </c>
      <c r="U33" s="223">
        <f t="shared" si="39"/>
        <v>12.800999999999988</v>
      </c>
      <c r="V33" s="223">
        <v>12.976000000000001</v>
      </c>
      <c r="W33" s="223">
        <f t="shared" ref="W33:AO33" si="40">W28-SUM(W29:W32)</f>
        <v>10.577000000000098</v>
      </c>
      <c r="X33" s="223">
        <f t="shared" si="40"/>
        <v>0.6010000000000133</v>
      </c>
      <c r="Y33" s="223">
        <f t="shared" si="40"/>
        <v>-17.625000000000014</v>
      </c>
      <c r="Z33" s="223">
        <f t="shared" si="40"/>
        <v>-20.176000000000002</v>
      </c>
      <c r="AA33" s="223">
        <f>AA28-SUM(AA29:AA32)</f>
        <v>-1.7419999999999902</v>
      </c>
      <c r="AB33" s="223">
        <f t="shared" si="40"/>
        <v>13.459000000000003</v>
      </c>
      <c r="AC33" s="223">
        <f t="shared" si="40"/>
        <v>10.332000000000022</v>
      </c>
      <c r="AD33" s="223">
        <f t="shared" si="40"/>
        <v>8.7729999999999819</v>
      </c>
      <c r="AE33" s="223">
        <f>AE28-SUM(AE29:AE32)</f>
        <v>-40.065000000000083</v>
      </c>
      <c r="AF33" s="223">
        <f t="shared" si="40"/>
        <v>-4.0600000000000023</v>
      </c>
      <c r="AG33" s="223">
        <f t="shared" si="40"/>
        <v>-0.17400000000000659</v>
      </c>
      <c r="AH33" s="223">
        <f t="shared" si="40"/>
        <v>5.4099999999999966</v>
      </c>
      <c r="AI33" s="223">
        <f t="shared" si="40"/>
        <v>4.9059999999999491</v>
      </c>
      <c r="AJ33" s="223">
        <f t="shared" si="40"/>
        <v>8.0500000000000398</v>
      </c>
      <c r="AK33" s="223">
        <f t="shared" si="40"/>
        <v>18</v>
      </c>
      <c r="AL33" s="223">
        <f t="shared" si="40"/>
        <v>12.599999999999994</v>
      </c>
      <c r="AM33" s="223">
        <f t="shared" si="40"/>
        <v>34.970000000000027</v>
      </c>
      <c r="AN33" s="223">
        <f t="shared" si="40"/>
        <v>12.199999999999989</v>
      </c>
      <c r="AO33" s="223">
        <f t="shared" si="40"/>
        <v>-80.900000000000034</v>
      </c>
      <c r="AP33" s="223">
        <f>AP28-SUM(AP29:AP32)</f>
        <v>35.400000000000034</v>
      </c>
      <c r="AQ33" s="223">
        <f t="shared" ref="AQ33" si="41">AQ28-SUM(AQ29:AQ32)</f>
        <v>42.56</v>
      </c>
      <c r="AR33" s="223">
        <f>AR28-SUM(AR29:AR32)</f>
        <v>40.349999999999994</v>
      </c>
      <c r="AS33" s="223">
        <f>AS28-SUM(AS29:AS32)</f>
        <v>40.828000000000003</v>
      </c>
      <c r="AT33" s="223">
        <f>AT28-SUM(AT29:AT32)</f>
        <v>48.837999999999994</v>
      </c>
      <c r="AU33" s="223">
        <f t="shared" ref="AU33:AW33" si="42">AU28-SUM(AU29:AU32)</f>
        <v>59.232999999999947</v>
      </c>
      <c r="AV33" s="223">
        <f t="shared" si="42"/>
        <v>38.234000000000009</v>
      </c>
      <c r="AW33" s="223">
        <f t="shared" si="42"/>
        <v>41.038999999999987</v>
      </c>
      <c r="BH33" s="223">
        <f t="shared" si="25"/>
        <v>4.1999999999999957</v>
      </c>
      <c r="BI33" s="223">
        <f t="shared" si="26"/>
        <v>-1.5000000000000142</v>
      </c>
      <c r="BJ33" s="223">
        <f t="shared" si="27"/>
        <v>1.2999999999999901</v>
      </c>
      <c r="BK33" s="223">
        <f t="shared" si="28"/>
        <v>-0.80000000000003979</v>
      </c>
      <c r="BL33" s="223">
        <f t="shared" ref="BL33:BP33" si="43">BL28-SUM(BL29:BL32)</f>
        <v>47.505999999999972</v>
      </c>
      <c r="BM33" s="223">
        <f t="shared" si="43"/>
        <v>-38.941999999999894</v>
      </c>
      <c r="BN33" s="223">
        <f t="shared" si="43"/>
        <v>-7.5010000000000332</v>
      </c>
      <c r="BO33" s="223">
        <f t="shared" si="43"/>
        <v>6.0820000000001073</v>
      </c>
      <c r="BP33" s="223">
        <f t="shared" si="43"/>
        <v>73.62</v>
      </c>
      <c r="BQ33" s="223">
        <f>BQ28-SUM(BQ29:BQ32)</f>
        <v>9.2599999999998772</v>
      </c>
      <c r="BR33" s="223">
        <f t="shared" si="29"/>
        <v>189.24899999999994</v>
      </c>
      <c r="BS33" s="225">
        <f>BS28-SUM(BS29:BS32)+BS32</f>
        <v>190.0148058900001</v>
      </c>
      <c r="BT33" s="225">
        <f>BT28-SUM(BT29:BT32)</f>
        <v>269.78725186700024</v>
      </c>
      <c r="BU33" s="225">
        <f>BU28-SUM(BU29:BU32)</f>
        <v>327.02092129590233</v>
      </c>
      <c r="BV33" s="225">
        <f>BV28-SUM(BV29:BV32)</f>
        <v>382.54933668981676</v>
      </c>
      <c r="BW33" s="225">
        <f>BW28-SUM(BW29:BW32)</f>
        <v>437.03130693431831</v>
      </c>
      <c r="BX33" s="225">
        <f>BX28-SUM(BX29:BX32)</f>
        <v>473.71169145659042</v>
      </c>
      <c r="BY33" s="225">
        <f t="shared" ref="BY33:CB33" si="44">BY28-SUM(BY29:BY32)</f>
        <v>502.05926172919953</v>
      </c>
      <c r="BZ33" s="225">
        <f t="shared" si="44"/>
        <v>551.58137117508477</v>
      </c>
      <c r="CA33" s="225">
        <f t="shared" si="44"/>
        <v>606.32392408069404</v>
      </c>
      <c r="CB33" s="225">
        <f t="shared" si="44"/>
        <v>662.93250784018005</v>
      </c>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c r="CY33" s="225"/>
      <c r="CZ33" s="225"/>
      <c r="DA33" s="225"/>
      <c r="DB33" s="225"/>
      <c r="DC33" s="225"/>
      <c r="DD33" s="225"/>
      <c r="DE33" s="225"/>
      <c r="DF33" s="225"/>
      <c r="DG33" s="225"/>
      <c r="DH33" s="225"/>
      <c r="DI33" s="225"/>
      <c r="DJ33" s="225"/>
      <c r="DK33" s="225"/>
      <c r="DL33" s="225"/>
      <c r="DM33" s="225"/>
      <c r="DN33" s="225"/>
      <c r="DO33" s="225"/>
      <c r="DP33" s="225"/>
    </row>
    <row r="34" spans="3:120" ht="13.5" customHeight="1">
      <c r="C34" s="204" t="s">
        <v>293</v>
      </c>
      <c r="D34" s="223">
        <v>0.3</v>
      </c>
      <c r="E34" s="223">
        <v>-0.4</v>
      </c>
      <c r="F34" s="223">
        <v>-0.1</v>
      </c>
      <c r="G34" s="223">
        <v>0.1</v>
      </c>
      <c r="H34" s="223">
        <v>0.3</v>
      </c>
      <c r="I34" s="223">
        <v>0.3</v>
      </c>
      <c r="J34" s="223">
        <v>0.3</v>
      </c>
      <c r="K34" s="223">
        <v>-0.4</v>
      </c>
      <c r="L34" s="223">
        <v>0.3</v>
      </c>
      <c r="M34" s="223">
        <v>0.4</v>
      </c>
      <c r="N34" s="223">
        <v>0.6</v>
      </c>
      <c r="O34" s="223">
        <v>0</v>
      </c>
      <c r="P34" s="223">
        <v>0.5</v>
      </c>
      <c r="Q34" s="223">
        <v>0.4</v>
      </c>
      <c r="R34" s="223">
        <v>0.9</v>
      </c>
      <c r="S34" s="223">
        <v>0.7</v>
      </c>
      <c r="T34" s="223">
        <f>0.733+0.024</f>
        <v>0.75700000000000001</v>
      </c>
      <c r="U34" s="223">
        <f>0.784-0.071</f>
        <v>0.71300000000000008</v>
      </c>
      <c r="V34" s="223">
        <f>0.759-0.772</f>
        <v>-1.3000000000000012E-2</v>
      </c>
      <c r="W34" s="223">
        <f>2.854-0.227-SUM(T34:V34)</f>
        <v>1.17</v>
      </c>
      <c r="X34" s="223">
        <f>0.299-1.555</f>
        <v>-1.256</v>
      </c>
      <c r="Y34" s="223">
        <f>0.108+0.508</f>
        <v>0.61599999999999999</v>
      </c>
      <c r="Z34" s="223">
        <f>0.413+0.014</f>
        <v>0.42699999999999999</v>
      </c>
      <c r="AA34" s="223">
        <f>1.267-0.243-SUM(X34:Z34)</f>
        <v>1.2370000000000001</v>
      </c>
      <c r="AB34" s="223">
        <f>0.48-1.476</f>
        <v>-0.996</v>
      </c>
      <c r="AC34" s="223">
        <f>0.299-0.408</f>
        <v>-0.10899999999999999</v>
      </c>
      <c r="AD34" s="223">
        <f>0.138-1.137</f>
        <v>-0.999</v>
      </c>
      <c r="AE34" s="223">
        <f>0.938-3.939-SUM(AB34:AD34)</f>
        <v>-0.89700000000000024</v>
      </c>
      <c r="AF34" s="223">
        <f>-0.041-1.01</f>
        <v>-1.0509999999999999</v>
      </c>
      <c r="AG34" s="223">
        <f>-0.07-0.9</f>
        <v>-0.97</v>
      </c>
      <c r="AH34" s="223">
        <f>-0.04-2.35</f>
        <v>-2.39</v>
      </c>
      <c r="AI34" s="223">
        <f>0.137-2.327-SUM(AF34:AH34)</f>
        <v>2.2209999999999996</v>
      </c>
      <c r="AJ34" s="223">
        <v>0.64400000000000002</v>
      </c>
      <c r="AK34" s="223">
        <v>1.6</v>
      </c>
      <c r="AL34" s="223">
        <v>0.7</v>
      </c>
      <c r="AM34" s="223">
        <f>6.09-SUM(AJ34:AL34)</f>
        <v>3.1459999999999999</v>
      </c>
      <c r="AN34" s="223">
        <v>2.5</v>
      </c>
      <c r="AO34" s="223">
        <v>3.1</v>
      </c>
      <c r="AP34" s="223">
        <v>4.4000000000000004</v>
      </c>
      <c r="AQ34" s="223">
        <f>11.59-SUM(AN34:AP34)</f>
        <v>1.5899999999999999</v>
      </c>
      <c r="AR34" s="223">
        <v>3.508</v>
      </c>
      <c r="AS34" s="223">
        <v>4.4820000000000002</v>
      </c>
      <c r="AT34" s="223">
        <v>3.4870000000000001</v>
      </c>
      <c r="AU34" s="223">
        <f>15.876-SUM(AR34:AT34)</f>
        <v>4.3989999999999991</v>
      </c>
      <c r="AV34" s="223">
        <v>3.4540000000000002</v>
      </c>
      <c r="AW34" s="223">
        <v>5.1479999999999997</v>
      </c>
      <c r="BH34" s="223">
        <f t="shared" si="25"/>
        <v>-0.10000000000000003</v>
      </c>
      <c r="BI34" s="223">
        <f t="shared" si="26"/>
        <v>0.49999999999999989</v>
      </c>
      <c r="BJ34" s="223">
        <f t="shared" si="27"/>
        <v>1.2999999999999998</v>
      </c>
      <c r="BK34" s="223">
        <f t="shared" si="28"/>
        <v>2.5</v>
      </c>
      <c r="BL34" s="223">
        <f>SUM(T34:W34)</f>
        <v>2.6270000000000002</v>
      </c>
      <c r="BM34" s="223">
        <f>SUM(X34:AA34)</f>
        <v>1.024</v>
      </c>
      <c r="BN34" s="223">
        <f>SUM(AB34:AE34)</f>
        <v>-3.0010000000000003</v>
      </c>
      <c r="BO34" s="223">
        <f>SUM(AF34:AI34)</f>
        <v>-2.19</v>
      </c>
      <c r="BP34" s="223">
        <f>SUM(AJ34:AM34)</f>
        <v>6.09</v>
      </c>
      <c r="BQ34" s="223">
        <f>SUM(AN34:AQ34)</f>
        <v>11.59</v>
      </c>
      <c r="BR34" s="223">
        <f t="shared" si="29"/>
        <v>15.875999999999999</v>
      </c>
      <c r="BS34" s="225">
        <f t="shared" ref="BS34:CB34" si="45">BR50*$CB$53</f>
        <v>28.967949999999998</v>
      </c>
      <c r="BT34" s="225">
        <f t="shared" si="45"/>
        <v>58.837197903396017</v>
      </c>
      <c r="BU34" s="225">
        <f t="shared" si="45"/>
        <v>99.586629674925149</v>
      </c>
      <c r="BV34" s="225">
        <f t="shared" si="45"/>
        <v>152.48596599530777</v>
      </c>
      <c r="BW34" s="225">
        <f t="shared" si="45"/>
        <v>218.8303435282632</v>
      </c>
      <c r="BX34" s="225">
        <f t="shared" si="45"/>
        <v>300.15718818562328</v>
      </c>
      <c r="BY34" s="225">
        <f t="shared" si="45"/>
        <v>396.11692926125778</v>
      </c>
      <c r="BZ34" s="225">
        <f t="shared" si="45"/>
        <v>507.49077694407447</v>
      </c>
      <c r="CA34" s="225">
        <f t="shared" si="45"/>
        <v>638.8157233108501</v>
      </c>
      <c r="CB34" s="225">
        <f t="shared" si="45"/>
        <v>793.21303958740157</v>
      </c>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c r="CY34" s="225"/>
      <c r="CZ34" s="225"/>
      <c r="DA34" s="225"/>
      <c r="DB34" s="225"/>
      <c r="DC34" s="225"/>
      <c r="DD34" s="225"/>
      <c r="DE34" s="225"/>
      <c r="DF34" s="225"/>
      <c r="DG34" s="225"/>
      <c r="DH34" s="225"/>
      <c r="DI34" s="225"/>
      <c r="DJ34" s="225"/>
      <c r="DK34" s="225"/>
      <c r="DL34" s="225"/>
      <c r="DM34" s="225"/>
      <c r="DN34" s="225"/>
      <c r="DO34" s="225"/>
      <c r="DP34" s="225"/>
    </row>
    <row r="35" spans="3:120" ht="13.5" customHeight="1">
      <c r="C35" s="204" t="s">
        <v>294</v>
      </c>
      <c r="D35" s="223">
        <f t="shared" ref="D35:AK35" si="46">D33+D34</f>
        <v>4.3</v>
      </c>
      <c r="E35" s="223">
        <f t="shared" si="46"/>
        <v>-4.2000000000000011</v>
      </c>
      <c r="F35" s="223">
        <f t="shared" si="46"/>
        <v>2.0999999999999992</v>
      </c>
      <c r="G35" s="223">
        <f t="shared" si="46"/>
        <v>1.8999999999999972</v>
      </c>
      <c r="H35" s="223">
        <f t="shared" si="46"/>
        <v>2.099999999999997</v>
      </c>
      <c r="I35" s="223">
        <f t="shared" si="46"/>
        <v>-0.40000000000000285</v>
      </c>
      <c r="J35" s="223">
        <f t="shared" si="46"/>
        <v>-1.0999999999999985</v>
      </c>
      <c r="K35" s="223">
        <f t="shared" si="46"/>
        <v>-1.6000000000000099</v>
      </c>
      <c r="L35" s="223">
        <f t="shared" si="46"/>
        <v>-1.7</v>
      </c>
      <c r="M35" s="223">
        <f t="shared" si="46"/>
        <v>-0.90000000000001135</v>
      </c>
      <c r="N35" s="223">
        <f t="shared" si="46"/>
        <v>1.3000000000000029</v>
      </c>
      <c r="O35" s="223">
        <f t="shared" si="46"/>
        <v>3.8999999999999986</v>
      </c>
      <c r="P35" s="223">
        <f t="shared" si="46"/>
        <v>4.4999999999999929</v>
      </c>
      <c r="Q35" s="223">
        <f t="shared" si="46"/>
        <v>9.6999999999999904</v>
      </c>
      <c r="R35" s="223">
        <f t="shared" si="46"/>
        <v>-19.899999999999999</v>
      </c>
      <c r="S35" s="223">
        <f t="shared" si="46"/>
        <v>7.3999999999999746</v>
      </c>
      <c r="T35" s="223">
        <f t="shared" si="46"/>
        <v>11.909000000000001</v>
      </c>
      <c r="U35" s="223">
        <f t="shared" si="46"/>
        <v>13.513999999999989</v>
      </c>
      <c r="V35" s="223">
        <f t="shared" si="46"/>
        <v>12.963000000000001</v>
      </c>
      <c r="W35" s="223">
        <f t="shared" si="46"/>
        <v>11.747000000000098</v>
      </c>
      <c r="X35" s="223">
        <f t="shared" si="46"/>
        <v>-0.6549999999999867</v>
      </c>
      <c r="Y35" s="223">
        <f t="shared" si="46"/>
        <v>-17.009000000000015</v>
      </c>
      <c r="Z35" s="223">
        <f t="shared" si="46"/>
        <v>-19.749000000000002</v>
      </c>
      <c r="AA35" s="223">
        <f t="shared" si="46"/>
        <v>-0.50499999999999012</v>
      </c>
      <c r="AB35" s="223">
        <f t="shared" si="46"/>
        <v>12.463000000000003</v>
      </c>
      <c r="AC35" s="223">
        <f t="shared" si="46"/>
        <v>10.223000000000022</v>
      </c>
      <c r="AD35" s="223">
        <f t="shared" si="46"/>
        <v>7.7739999999999823</v>
      </c>
      <c r="AE35" s="223">
        <f t="shared" si="46"/>
        <v>-40.962000000000081</v>
      </c>
      <c r="AF35" s="223">
        <f t="shared" si="46"/>
        <v>-5.1110000000000024</v>
      </c>
      <c r="AG35" s="223">
        <f t="shared" si="46"/>
        <v>-1.1440000000000066</v>
      </c>
      <c r="AH35" s="223">
        <f t="shared" si="46"/>
        <v>3.0199999999999965</v>
      </c>
      <c r="AI35" s="223">
        <f t="shared" si="46"/>
        <v>7.1269999999999492</v>
      </c>
      <c r="AJ35" s="223">
        <f t="shared" si="46"/>
        <v>8.6940000000000399</v>
      </c>
      <c r="AK35" s="223">
        <f t="shared" si="46"/>
        <v>19.600000000000001</v>
      </c>
      <c r="AL35" s="223">
        <f>AL33+AL34</f>
        <v>13.299999999999994</v>
      </c>
      <c r="AM35" s="223">
        <f t="shared" ref="AM35:AS35" si="47">AM33+AM34</f>
        <v>38.116000000000028</v>
      </c>
      <c r="AN35" s="223">
        <f t="shared" si="47"/>
        <v>14.699999999999989</v>
      </c>
      <c r="AO35" s="223">
        <f t="shared" si="47"/>
        <v>-77.80000000000004</v>
      </c>
      <c r="AP35" s="223">
        <f t="shared" si="47"/>
        <v>39.800000000000033</v>
      </c>
      <c r="AQ35" s="223">
        <f t="shared" si="47"/>
        <v>44.150000000000006</v>
      </c>
      <c r="AR35" s="223">
        <f t="shared" si="47"/>
        <v>43.857999999999997</v>
      </c>
      <c r="AS35" s="223">
        <f t="shared" si="47"/>
        <v>45.31</v>
      </c>
      <c r="AT35" s="223">
        <f>AT33+AT34</f>
        <v>52.324999999999996</v>
      </c>
      <c r="AU35" s="223">
        <f t="shared" ref="AU35:AW35" si="48">AU33+AU34</f>
        <v>63.631999999999948</v>
      </c>
      <c r="AV35" s="223">
        <f t="shared" si="48"/>
        <v>41.688000000000009</v>
      </c>
      <c r="AW35" s="223">
        <f t="shared" si="48"/>
        <v>46.186999999999983</v>
      </c>
      <c r="BH35" s="223">
        <f t="shared" si="25"/>
        <v>4.0999999999999952</v>
      </c>
      <c r="BI35" s="223">
        <f t="shared" si="26"/>
        <v>-1.0000000000000142</v>
      </c>
      <c r="BJ35" s="223">
        <f t="shared" si="27"/>
        <v>2.5999999999999903</v>
      </c>
      <c r="BK35" s="223">
        <f t="shared" si="28"/>
        <v>1.6999999999999593</v>
      </c>
      <c r="BL35" s="223">
        <f t="shared" ref="BL35:BP35" si="49">BL33+BL34</f>
        <v>50.132999999999974</v>
      </c>
      <c r="BM35" s="223">
        <f t="shared" si="49"/>
        <v>-37.917999999999893</v>
      </c>
      <c r="BN35" s="223">
        <f t="shared" si="49"/>
        <v>-10.502000000000034</v>
      </c>
      <c r="BO35" s="223">
        <f t="shared" si="49"/>
        <v>3.8920000000001074</v>
      </c>
      <c r="BP35" s="223">
        <f t="shared" si="49"/>
        <v>79.710000000000008</v>
      </c>
      <c r="BQ35" s="223">
        <f>BQ33+BQ34</f>
        <v>20.849999999999877</v>
      </c>
      <c r="BR35" s="223">
        <f t="shared" si="29"/>
        <v>205.12499999999994</v>
      </c>
      <c r="BS35" s="225">
        <f t="shared" ref="BS35:CB35" si="50">BS33+BS34</f>
        <v>218.98275589000011</v>
      </c>
      <c r="BT35" s="225">
        <f t="shared" si="50"/>
        <v>328.62444977039627</v>
      </c>
      <c r="BU35" s="225">
        <f t="shared" si="50"/>
        <v>426.60755097082745</v>
      </c>
      <c r="BV35" s="225">
        <f t="shared" si="50"/>
        <v>535.03530268512452</v>
      </c>
      <c r="BW35" s="225">
        <f t="shared" si="50"/>
        <v>655.86165046258157</v>
      </c>
      <c r="BX35" s="225">
        <f t="shared" si="50"/>
        <v>773.86887964221364</v>
      </c>
      <c r="BY35" s="225">
        <f t="shared" si="50"/>
        <v>898.17619099045737</v>
      </c>
      <c r="BZ35" s="225">
        <f t="shared" si="50"/>
        <v>1059.0721481191592</v>
      </c>
      <c r="CA35" s="225">
        <f t="shared" si="50"/>
        <v>1245.1396473915443</v>
      </c>
      <c r="CB35" s="225">
        <f t="shared" si="50"/>
        <v>1456.1455474275817</v>
      </c>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c r="CY35" s="225"/>
      <c r="CZ35" s="225"/>
      <c r="DA35" s="225"/>
      <c r="DB35" s="225"/>
      <c r="DC35" s="225"/>
      <c r="DD35" s="225"/>
      <c r="DE35" s="225"/>
      <c r="DF35" s="225"/>
      <c r="DG35" s="225"/>
      <c r="DH35" s="225"/>
      <c r="DI35" s="225"/>
      <c r="DJ35" s="225"/>
      <c r="DK35" s="225"/>
      <c r="DL35" s="225"/>
      <c r="DM35" s="225"/>
      <c r="DN35" s="225"/>
      <c r="DO35" s="225"/>
      <c r="DP35" s="225"/>
    </row>
    <row r="36" spans="3:120" ht="13.5" customHeight="1">
      <c r="C36" s="204" t="s">
        <v>573</v>
      </c>
      <c r="D36" s="223">
        <v>1.7</v>
      </c>
      <c r="E36" s="223">
        <v>-1.5</v>
      </c>
      <c r="F36" s="223">
        <v>1.2</v>
      </c>
      <c r="G36" s="223">
        <v>0.2</v>
      </c>
      <c r="H36" s="223">
        <v>-0.2</v>
      </c>
      <c r="I36" s="223">
        <v>-3.4</v>
      </c>
      <c r="J36" s="223">
        <v>-13</v>
      </c>
      <c r="K36" s="223">
        <v>0.9</v>
      </c>
      <c r="L36" s="223">
        <v>1.4</v>
      </c>
      <c r="M36" s="223">
        <v>0.5</v>
      </c>
      <c r="N36" s="223">
        <v>0.5</v>
      </c>
      <c r="O36" s="223">
        <v>-5.9</v>
      </c>
      <c r="P36" s="223">
        <v>-1.9</v>
      </c>
      <c r="Q36" s="223">
        <v>-4.9000000000000004</v>
      </c>
      <c r="R36" s="223">
        <v>1.6</v>
      </c>
      <c r="S36" s="223">
        <v>0.9</v>
      </c>
      <c r="T36" s="223">
        <v>1.4550000000000001</v>
      </c>
      <c r="U36" s="223">
        <v>-2.7349999999999999</v>
      </c>
      <c r="V36" s="223">
        <v>1.9630000000000001</v>
      </c>
      <c r="W36" s="223">
        <f>3.131-SUM(T36:V36)</f>
        <v>2.4479999999999995</v>
      </c>
      <c r="X36" s="223">
        <v>-1.6339999999999999</v>
      </c>
      <c r="Y36" s="223">
        <v>-4.1289999999999996</v>
      </c>
      <c r="Z36" s="223">
        <v>-9.8550000000000004</v>
      </c>
      <c r="AA36" s="223">
        <f>-18.761-SUM(X36:Z36)</f>
        <v>-3.1429999999999989</v>
      </c>
      <c r="AB36" s="223">
        <v>1.5409999999999999</v>
      </c>
      <c r="AC36" s="223">
        <v>1.9</v>
      </c>
      <c r="AD36" s="223">
        <v>-0.249</v>
      </c>
      <c r="AE36" s="223">
        <f>-13.125-SUM(AB36:AD36)</f>
        <v>-16.317</v>
      </c>
      <c r="AF36" s="223">
        <v>-5.1829999999999998</v>
      </c>
      <c r="AG36" s="223">
        <v>2.52</v>
      </c>
      <c r="AH36" s="223">
        <v>5.3</v>
      </c>
      <c r="AI36" s="223">
        <f>5.894-SUM(AF36:AH36)</f>
        <v>3.2570000000000001</v>
      </c>
      <c r="AJ36" s="223">
        <v>0.09</v>
      </c>
      <c r="AK36" s="223">
        <v>0.5</v>
      </c>
      <c r="AL36" s="223">
        <v>4.09</v>
      </c>
      <c r="AM36" s="223">
        <f>-11.3-SUM(AJ36:AL36)</f>
        <v>-15.98</v>
      </c>
      <c r="AN36" s="223">
        <v>3.6</v>
      </c>
      <c r="AO36" s="223">
        <v>-17.600000000000001</v>
      </c>
      <c r="AP36" s="223">
        <v>10.3</v>
      </c>
      <c r="AQ36" s="223">
        <f>6.86-SUM(AN36:AP36)</f>
        <v>10.560000000000002</v>
      </c>
      <c r="AR36" s="223">
        <v>4.6349999999999998</v>
      </c>
      <c r="AS36" s="223">
        <v>0.04</v>
      </c>
      <c r="AT36" s="223">
        <v>6.4740000000000002</v>
      </c>
      <c r="AU36" s="223">
        <f>27.438-SUM(AR36:AT36)</f>
        <v>16.288999999999998</v>
      </c>
      <c r="AV36" s="223">
        <v>9.1039999999999992</v>
      </c>
      <c r="AW36" s="223">
        <v>11.375999999999999</v>
      </c>
      <c r="BH36" s="223">
        <f t="shared" si="25"/>
        <v>1.5999999999999999</v>
      </c>
      <c r="BI36" s="223">
        <f t="shared" si="26"/>
        <v>-15.700000000000001</v>
      </c>
      <c r="BJ36" s="223">
        <f t="shared" si="27"/>
        <v>-3.5000000000000004</v>
      </c>
      <c r="BK36" s="223">
        <f t="shared" si="28"/>
        <v>-4.3000000000000007</v>
      </c>
      <c r="BL36" s="223">
        <f>SUM(T36:W36)</f>
        <v>3.1309999999999998</v>
      </c>
      <c r="BM36" s="223">
        <f>SUM(X36:AA36)</f>
        <v>-18.760999999999999</v>
      </c>
      <c r="BN36" s="223">
        <f>SUM(AB36:AE36)</f>
        <v>-13.125</v>
      </c>
      <c r="BO36" s="223">
        <f>SUM(AF36:AI36)</f>
        <v>5.8940000000000001</v>
      </c>
      <c r="BP36" s="223">
        <f>SUM(AJ36:AM36)</f>
        <v>-11.3</v>
      </c>
      <c r="BQ36" s="223">
        <f>SUM(AN36:AQ36)</f>
        <v>6.8600000000000012</v>
      </c>
      <c r="BR36" s="223">
        <f t="shared" si="29"/>
        <v>27.437999999999999</v>
      </c>
      <c r="BS36" s="225">
        <f t="shared" ref="BS36:CB36" si="51">BS35*BS47</f>
        <v>26.27793070680001</v>
      </c>
      <c r="BT36" s="225">
        <f t="shared" si="51"/>
        <v>65.724889954079259</v>
      </c>
      <c r="BU36" s="225">
        <f t="shared" si="51"/>
        <v>85.321510194165498</v>
      </c>
      <c r="BV36" s="225">
        <f t="shared" si="51"/>
        <v>107.00706053702491</v>
      </c>
      <c r="BW36" s="225">
        <f t="shared" si="51"/>
        <v>131.17233009251632</v>
      </c>
      <c r="BX36" s="225">
        <f t="shared" si="51"/>
        <v>154.77377592844275</v>
      </c>
      <c r="BY36" s="225">
        <f t="shared" si="51"/>
        <v>179.63523819809149</v>
      </c>
      <c r="BZ36" s="225">
        <f t="shared" si="51"/>
        <v>211.81442962383187</v>
      </c>
      <c r="CA36" s="225">
        <f t="shared" si="51"/>
        <v>249.02792947830886</v>
      </c>
      <c r="CB36" s="225">
        <f t="shared" si="51"/>
        <v>291.22910948551635</v>
      </c>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c r="CY36" s="225"/>
      <c r="CZ36" s="225"/>
      <c r="DA36" s="225"/>
      <c r="DB36" s="225"/>
      <c r="DC36" s="225"/>
      <c r="DD36" s="225"/>
      <c r="DE36" s="225"/>
      <c r="DF36" s="225"/>
      <c r="DG36" s="225"/>
      <c r="DH36" s="225"/>
      <c r="DI36" s="225"/>
      <c r="DJ36" s="225"/>
      <c r="DK36" s="225"/>
      <c r="DL36" s="225"/>
      <c r="DM36" s="225"/>
      <c r="DN36" s="225"/>
      <c r="DO36" s="225"/>
      <c r="DP36" s="225"/>
    </row>
    <row r="37" spans="3:120" ht="13.5" customHeight="1">
      <c r="C37" s="204" t="s">
        <v>489</v>
      </c>
      <c r="D37" s="223">
        <v>2.5</v>
      </c>
      <c r="E37" s="223">
        <v>-2.7</v>
      </c>
      <c r="F37" s="223">
        <v>0.9</v>
      </c>
      <c r="G37" s="223">
        <v>1.6</v>
      </c>
      <c r="H37" s="223">
        <v>2.2999999999999998</v>
      </c>
      <c r="I37" s="223">
        <v>3</v>
      </c>
      <c r="J37" s="223">
        <v>11.9</v>
      </c>
      <c r="K37" s="223">
        <v>-2.4</v>
      </c>
      <c r="L37" s="223">
        <v>-3.1</v>
      </c>
      <c r="M37" s="223">
        <v>-1.6</v>
      </c>
      <c r="N37" s="223">
        <v>0.2</v>
      </c>
      <c r="O37" s="223">
        <v>9.1</v>
      </c>
      <c r="P37" s="223">
        <v>5.5</v>
      </c>
      <c r="Q37" s="223">
        <v>13.4</v>
      </c>
      <c r="R37" s="223">
        <v>-22.4</v>
      </c>
      <c r="S37" s="223">
        <v>6.5</v>
      </c>
      <c r="T37" s="223">
        <f t="shared" ref="T37:AO37" si="52">T35-T36</f>
        <v>10.454000000000001</v>
      </c>
      <c r="U37" s="223">
        <f t="shared" si="52"/>
        <v>16.248999999999988</v>
      </c>
      <c r="V37" s="223">
        <f t="shared" si="52"/>
        <v>11</v>
      </c>
      <c r="W37" s="223">
        <f t="shared" si="52"/>
        <v>9.299000000000099</v>
      </c>
      <c r="X37" s="223">
        <f t="shared" si="52"/>
        <v>0.97900000000001319</v>
      </c>
      <c r="Y37" s="223">
        <f t="shared" si="52"/>
        <v>-12.880000000000015</v>
      </c>
      <c r="Z37" s="223">
        <f t="shared" si="52"/>
        <v>-9.8940000000000019</v>
      </c>
      <c r="AA37" s="223">
        <f t="shared" si="52"/>
        <v>2.6380000000000088</v>
      </c>
      <c r="AB37" s="223">
        <f t="shared" si="52"/>
        <v>10.922000000000002</v>
      </c>
      <c r="AC37" s="223">
        <f t="shared" si="52"/>
        <v>8.3230000000000217</v>
      </c>
      <c r="AD37" s="223">
        <f t="shared" si="52"/>
        <v>8.0229999999999819</v>
      </c>
      <c r="AE37" s="223">
        <f t="shared" si="52"/>
        <v>-24.645000000000081</v>
      </c>
      <c r="AF37" s="223">
        <f t="shared" si="52"/>
        <v>7.1999999999997399E-2</v>
      </c>
      <c r="AG37" s="223">
        <f t="shared" si="52"/>
        <v>-3.6640000000000068</v>
      </c>
      <c r="AH37" s="223">
        <f t="shared" si="52"/>
        <v>-2.2800000000000034</v>
      </c>
      <c r="AI37" s="223">
        <f t="shared" si="52"/>
        <v>3.869999999999949</v>
      </c>
      <c r="AJ37" s="223">
        <f t="shared" si="52"/>
        <v>8.6040000000000401</v>
      </c>
      <c r="AK37" s="223">
        <f t="shared" si="52"/>
        <v>19.100000000000001</v>
      </c>
      <c r="AL37" s="223">
        <f t="shared" si="52"/>
        <v>9.2099999999999937</v>
      </c>
      <c r="AM37" s="223">
        <f t="shared" si="52"/>
        <v>54.096000000000032</v>
      </c>
      <c r="AN37" s="223">
        <f t="shared" si="52"/>
        <v>11.099999999999989</v>
      </c>
      <c r="AO37" s="223">
        <f t="shared" si="52"/>
        <v>-60.200000000000038</v>
      </c>
      <c r="AP37" s="223">
        <f>AP35-AP36</f>
        <v>29.500000000000032</v>
      </c>
      <c r="AQ37" s="223">
        <f t="shared" ref="AQ37" si="53">AQ35-AQ36</f>
        <v>33.590000000000003</v>
      </c>
      <c r="AR37" s="223">
        <f>AR35-AR36</f>
        <v>39.222999999999999</v>
      </c>
      <c r="AS37" s="223">
        <f>AS35-AS36</f>
        <v>45.27</v>
      </c>
      <c r="AT37" s="223">
        <f>AT35-AT36</f>
        <v>45.850999999999999</v>
      </c>
      <c r="AU37" s="223">
        <f t="shared" ref="AU37:AW37" si="54">AU35-AU36</f>
        <v>47.342999999999947</v>
      </c>
      <c r="AV37" s="223">
        <f t="shared" si="54"/>
        <v>32.58400000000001</v>
      </c>
      <c r="AW37" s="223">
        <f t="shared" si="54"/>
        <v>34.810999999999986</v>
      </c>
      <c r="BH37" s="223">
        <f t="shared" si="25"/>
        <v>2.2999999999999998</v>
      </c>
      <c r="BI37" s="223">
        <f t="shared" si="26"/>
        <v>14.799999999999999</v>
      </c>
      <c r="BJ37" s="223">
        <f t="shared" si="27"/>
        <v>4.5999999999999996</v>
      </c>
      <c r="BK37" s="223">
        <f t="shared" si="28"/>
        <v>3</v>
      </c>
      <c r="BL37" s="223">
        <f t="shared" ref="BL37:BP37" si="55">BL35-BL36</f>
        <v>47.001999999999974</v>
      </c>
      <c r="BM37" s="223">
        <f t="shared" si="55"/>
        <v>-19.156999999999893</v>
      </c>
      <c r="BN37" s="223">
        <f t="shared" si="55"/>
        <v>2.6229999999999656</v>
      </c>
      <c r="BO37" s="223">
        <f t="shared" si="55"/>
        <v>-2.0019999999998928</v>
      </c>
      <c r="BP37" s="223">
        <f t="shared" si="55"/>
        <v>91.01</v>
      </c>
      <c r="BQ37" s="223">
        <f>BQ35-BQ36</f>
        <v>13.989999999999876</v>
      </c>
      <c r="BR37" s="223">
        <f t="shared" si="29"/>
        <v>177.68699999999995</v>
      </c>
      <c r="BS37" s="225">
        <f>BS35-BS36</f>
        <v>192.70482518320009</v>
      </c>
      <c r="BT37" s="225">
        <f t="shared" ref="BT37:CB37" si="56">BT35-BT36</f>
        <v>262.89955981631704</v>
      </c>
      <c r="BU37" s="225">
        <f t="shared" si="56"/>
        <v>341.28604077666193</v>
      </c>
      <c r="BV37" s="225">
        <f t="shared" si="56"/>
        <v>428.02824214809959</v>
      </c>
      <c r="BW37" s="225">
        <f t="shared" si="56"/>
        <v>524.68932037006527</v>
      </c>
      <c r="BX37" s="225">
        <f t="shared" si="56"/>
        <v>619.09510371377087</v>
      </c>
      <c r="BY37" s="225">
        <f t="shared" si="56"/>
        <v>718.54095279236594</v>
      </c>
      <c r="BZ37" s="225">
        <f t="shared" si="56"/>
        <v>847.25771849532737</v>
      </c>
      <c r="CA37" s="225">
        <f t="shared" si="56"/>
        <v>996.11171791323545</v>
      </c>
      <c r="CB37" s="225">
        <f t="shared" si="56"/>
        <v>1164.9164379420654</v>
      </c>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c r="CY37" s="225"/>
      <c r="CZ37" s="225"/>
      <c r="DA37" s="225"/>
      <c r="DB37" s="225"/>
      <c r="DC37" s="225"/>
      <c r="DD37" s="225"/>
      <c r="DE37" s="225"/>
      <c r="DF37" s="225"/>
      <c r="DG37" s="225"/>
      <c r="DH37" s="225"/>
      <c r="DI37" s="225"/>
      <c r="DJ37" s="225"/>
      <c r="DK37" s="225"/>
      <c r="DL37" s="225"/>
      <c r="DM37" s="225"/>
      <c r="DN37" s="225"/>
      <c r="DO37" s="225"/>
      <c r="DP37" s="225"/>
    </row>
    <row r="38" spans="3:120" ht="13.5" customHeight="1">
      <c r="C38" s="204" t="s">
        <v>1577</v>
      </c>
      <c r="D38" s="223">
        <v>2</v>
      </c>
      <c r="E38" s="223">
        <v>-2.15</v>
      </c>
      <c r="F38" s="223">
        <v>0.57999999999999996</v>
      </c>
      <c r="G38" s="223">
        <v>0.85</v>
      </c>
      <c r="H38" s="223">
        <v>-0.2</v>
      </c>
      <c r="I38" s="223">
        <v>0</v>
      </c>
      <c r="J38" s="223">
        <v>-0.3</v>
      </c>
      <c r="K38" s="223">
        <v>0</v>
      </c>
      <c r="L38" s="223">
        <v>0</v>
      </c>
      <c r="M38" s="223">
        <v>0</v>
      </c>
      <c r="N38" s="223">
        <v>0</v>
      </c>
      <c r="O38" s="223">
        <v>0</v>
      </c>
      <c r="P38" s="223">
        <v>0</v>
      </c>
      <c r="Q38" s="223">
        <v>0</v>
      </c>
      <c r="R38" s="223">
        <v>-3.5</v>
      </c>
      <c r="S38" s="223">
        <v>-0.02</v>
      </c>
      <c r="T38" s="223">
        <v>-0.24399999999999999</v>
      </c>
      <c r="U38" s="223">
        <v>-0.53700000000000003</v>
      </c>
      <c r="V38" s="223">
        <v>-0.48299999999999998</v>
      </c>
      <c r="W38" s="223">
        <f>-1.454-SUM(T38:V38)</f>
        <v>-0.18999999999999995</v>
      </c>
      <c r="X38" s="223">
        <v>-0.53700000000000003</v>
      </c>
      <c r="Y38" s="223">
        <v>-0.94</v>
      </c>
      <c r="Z38" s="223">
        <v>-1.0609999999999999</v>
      </c>
      <c r="AA38" s="223">
        <f>-3.555-SUM(X38:Z38)</f>
        <v>-1.0170000000000003</v>
      </c>
      <c r="AB38" s="223">
        <v>-0.91</v>
      </c>
      <c r="AC38" s="223">
        <v>-0.93200000000000005</v>
      </c>
      <c r="AD38" s="223">
        <v>-0.81899999999999995</v>
      </c>
      <c r="AE38" s="223">
        <f>-2.641-SUM(AB38:AD38)</f>
        <v>2.0000000000000018E-2</v>
      </c>
      <c r="AF38" s="223">
        <v>0</v>
      </c>
      <c r="AG38" s="223">
        <v>0</v>
      </c>
      <c r="AH38" s="223">
        <v>0</v>
      </c>
      <c r="AI38" s="223">
        <v>0</v>
      </c>
      <c r="AJ38" s="223">
        <v>0</v>
      </c>
      <c r="AK38" s="223">
        <v>0</v>
      </c>
      <c r="AL38" s="223">
        <v>0</v>
      </c>
      <c r="AM38" s="223">
        <v>0</v>
      </c>
      <c r="AN38" s="223">
        <v>0</v>
      </c>
      <c r="AO38" s="223">
        <v>0</v>
      </c>
      <c r="AP38" s="223">
        <v>0</v>
      </c>
      <c r="AQ38" s="223">
        <v>0</v>
      </c>
      <c r="AR38" s="223">
        <v>0</v>
      </c>
      <c r="AS38" s="223">
        <v>0</v>
      </c>
      <c r="AT38" s="223">
        <v>0</v>
      </c>
      <c r="AU38" s="223">
        <v>0</v>
      </c>
      <c r="AV38" s="223">
        <v>0</v>
      </c>
      <c r="AW38" s="223">
        <v>0</v>
      </c>
      <c r="BH38" s="223">
        <f t="shared" si="25"/>
        <v>1.28</v>
      </c>
      <c r="BI38" s="223">
        <f t="shared" si="26"/>
        <v>-0.5</v>
      </c>
      <c r="BJ38" s="223">
        <f t="shared" si="27"/>
        <v>0</v>
      </c>
      <c r="BK38" s="223">
        <f t="shared" si="28"/>
        <v>-3.52</v>
      </c>
      <c r="BL38" s="223">
        <f>SUM(T38:W38)</f>
        <v>-1.454</v>
      </c>
      <c r="BM38" s="223">
        <v>-3.5550000000000002</v>
      </c>
      <c r="BN38" s="223">
        <v>-2.661</v>
      </c>
      <c r="BO38" s="223">
        <v>0</v>
      </c>
      <c r="BP38" s="223">
        <v>0</v>
      </c>
      <c r="BQ38" s="223">
        <v>0</v>
      </c>
      <c r="BR38" s="223">
        <f t="shared" si="29"/>
        <v>0</v>
      </c>
      <c r="BS38" s="225">
        <v>0</v>
      </c>
      <c r="BT38" s="225">
        <v>0</v>
      </c>
      <c r="BU38" s="225">
        <v>0</v>
      </c>
      <c r="BV38" s="225">
        <v>0</v>
      </c>
      <c r="BW38" s="225">
        <v>0</v>
      </c>
      <c r="BX38" s="225">
        <v>0</v>
      </c>
      <c r="BY38" s="225">
        <v>0</v>
      </c>
      <c r="BZ38" s="225">
        <v>0</v>
      </c>
      <c r="CA38" s="225">
        <v>0</v>
      </c>
      <c r="CB38" s="225">
        <v>0</v>
      </c>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c r="CY38" s="225"/>
      <c r="CZ38" s="225"/>
      <c r="DA38" s="225"/>
      <c r="DB38" s="225"/>
      <c r="DC38" s="225"/>
      <c r="DD38" s="225"/>
      <c r="DE38" s="225"/>
      <c r="DF38" s="225"/>
      <c r="DG38" s="225"/>
      <c r="DH38" s="225"/>
      <c r="DI38" s="225"/>
      <c r="DJ38" s="225"/>
      <c r="DK38" s="225"/>
      <c r="DL38" s="225"/>
      <c r="DM38" s="225"/>
      <c r="DN38" s="225"/>
      <c r="DO38" s="225"/>
      <c r="DP38" s="225"/>
    </row>
    <row r="39" spans="3:120" s="210" customFormat="1" ht="13.5" customHeight="1">
      <c r="C39" s="210" t="s">
        <v>490</v>
      </c>
      <c r="D39" s="206">
        <f>D37-D38</f>
        <v>0.5</v>
      </c>
      <c r="E39" s="206">
        <f t="shared" ref="E39:S39" si="57">E37-E38</f>
        <v>-0.55000000000000027</v>
      </c>
      <c r="F39" s="206">
        <f t="shared" si="57"/>
        <v>0.32000000000000006</v>
      </c>
      <c r="G39" s="206">
        <f t="shared" si="57"/>
        <v>0.75000000000000011</v>
      </c>
      <c r="H39" s="206">
        <f t="shared" si="57"/>
        <v>2.5</v>
      </c>
      <c r="I39" s="206">
        <f t="shared" si="57"/>
        <v>3</v>
      </c>
      <c r="J39" s="206">
        <f t="shared" si="57"/>
        <v>12.200000000000001</v>
      </c>
      <c r="K39" s="206">
        <f t="shared" si="57"/>
        <v>-2.4</v>
      </c>
      <c r="L39" s="206">
        <f t="shared" si="57"/>
        <v>-3.1</v>
      </c>
      <c r="M39" s="206">
        <f t="shared" si="57"/>
        <v>-1.6</v>
      </c>
      <c r="N39" s="206">
        <f t="shared" si="57"/>
        <v>0.2</v>
      </c>
      <c r="O39" s="206">
        <f t="shared" si="57"/>
        <v>9.1</v>
      </c>
      <c r="P39" s="206">
        <f t="shared" si="57"/>
        <v>5.5</v>
      </c>
      <c r="Q39" s="206">
        <f t="shared" si="57"/>
        <v>13.4</v>
      </c>
      <c r="R39" s="206">
        <f t="shared" si="57"/>
        <v>-18.899999999999999</v>
      </c>
      <c r="S39" s="206">
        <f t="shared" si="57"/>
        <v>6.52</v>
      </c>
      <c r="T39" s="206">
        <f>T37-T38</f>
        <v>10.698</v>
      </c>
      <c r="U39" s="206">
        <f>U37-U38</f>
        <v>16.785999999999987</v>
      </c>
      <c r="V39" s="206">
        <f>V37-V38</f>
        <v>11.483000000000001</v>
      </c>
      <c r="W39" s="206">
        <f>W37-W38</f>
        <v>9.4890000000000985</v>
      </c>
      <c r="X39" s="206">
        <f>X37-X38</f>
        <v>1.5160000000000133</v>
      </c>
      <c r="Y39" s="206">
        <f t="shared" ref="Y39:AW39" si="58">Y37-Y38</f>
        <v>-11.940000000000015</v>
      </c>
      <c r="Z39" s="206">
        <f t="shared" si="58"/>
        <v>-8.833000000000002</v>
      </c>
      <c r="AA39" s="206">
        <f t="shared" si="58"/>
        <v>3.6550000000000091</v>
      </c>
      <c r="AB39" s="206">
        <f t="shared" si="58"/>
        <v>11.832000000000003</v>
      </c>
      <c r="AC39" s="206">
        <f t="shared" si="58"/>
        <v>9.2550000000000221</v>
      </c>
      <c r="AD39" s="206">
        <f t="shared" si="58"/>
        <v>8.841999999999981</v>
      </c>
      <c r="AE39" s="206">
        <f t="shared" si="58"/>
        <v>-24.665000000000081</v>
      </c>
      <c r="AF39" s="206">
        <f t="shared" si="58"/>
        <v>7.1999999999997399E-2</v>
      </c>
      <c r="AG39" s="206">
        <f t="shared" si="58"/>
        <v>-3.6640000000000068</v>
      </c>
      <c r="AH39" s="206">
        <f t="shared" si="58"/>
        <v>-2.2800000000000034</v>
      </c>
      <c r="AI39" s="206">
        <f t="shared" si="58"/>
        <v>3.869999999999949</v>
      </c>
      <c r="AJ39" s="206">
        <f t="shared" si="58"/>
        <v>8.6040000000000401</v>
      </c>
      <c r="AK39" s="206">
        <f t="shared" si="58"/>
        <v>19.100000000000001</v>
      </c>
      <c r="AL39" s="206">
        <f t="shared" si="58"/>
        <v>9.2099999999999937</v>
      </c>
      <c r="AM39" s="206">
        <f t="shared" si="58"/>
        <v>54.096000000000032</v>
      </c>
      <c r="AN39" s="206">
        <f t="shared" si="58"/>
        <v>11.099999999999989</v>
      </c>
      <c r="AO39" s="206">
        <f t="shared" si="58"/>
        <v>-60.200000000000038</v>
      </c>
      <c r="AP39" s="206">
        <f t="shared" si="58"/>
        <v>29.500000000000032</v>
      </c>
      <c r="AQ39" s="206">
        <f t="shared" si="58"/>
        <v>33.590000000000003</v>
      </c>
      <c r="AR39" s="206">
        <f t="shared" si="58"/>
        <v>39.222999999999999</v>
      </c>
      <c r="AS39" s="206">
        <f t="shared" si="58"/>
        <v>45.27</v>
      </c>
      <c r="AT39" s="206">
        <f t="shared" si="58"/>
        <v>45.850999999999999</v>
      </c>
      <c r="AU39" s="206">
        <f t="shared" si="58"/>
        <v>47.342999999999947</v>
      </c>
      <c r="AV39" s="206">
        <f t="shared" si="58"/>
        <v>32.58400000000001</v>
      </c>
      <c r="AW39" s="206">
        <f t="shared" si="58"/>
        <v>34.810999999999986</v>
      </c>
      <c r="AX39" s="208"/>
      <c r="AY39" s="208"/>
      <c r="AZ39" s="208"/>
      <c r="BA39" s="208"/>
      <c r="BB39" s="208"/>
      <c r="BC39" s="208"/>
      <c r="BH39" s="206">
        <f t="shared" si="25"/>
        <v>1.02</v>
      </c>
      <c r="BI39" s="206">
        <f t="shared" si="26"/>
        <v>15.300000000000002</v>
      </c>
      <c r="BJ39" s="206">
        <f t="shared" si="27"/>
        <v>4.5999999999999996</v>
      </c>
      <c r="BK39" s="206">
        <f t="shared" si="28"/>
        <v>6.52</v>
      </c>
      <c r="BL39" s="206">
        <f t="shared" ref="BL39:BP39" si="59">BL37-BL38</f>
        <v>48.455999999999975</v>
      </c>
      <c r="BM39" s="206">
        <f t="shared" si="59"/>
        <v>-15.601999999999894</v>
      </c>
      <c r="BN39" s="206">
        <f t="shared" si="59"/>
        <v>5.2839999999999652</v>
      </c>
      <c r="BO39" s="206">
        <f t="shared" si="59"/>
        <v>-2.0019999999998928</v>
      </c>
      <c r="BP39" s="206">
        <f t="shared" si="59"/>
        <v>91.01</v>
      </c>
      <c r="BQ39" s="206">
        <f>BQ37-BQ38</f>
        <v>13.989999999999876</v>
      </c>
      <c r="BR39" s="206">
        <f t="shared" si="29"/>
        <v>177.68699999999995</v>
      </c>
      <c r="BS39" s="224">
        <f>BS37-BS38</f>
        <v>192.70482518320009</v>
      </c>
      <c r="BT39" s="224">
        <f t="shared" ref="BT39:CB39" si="60">BT37-BT38</f>
        <v>262.89955981631704</v>
      </c>
      <c r="BU39" s="224">
        <f t="shared" si="60"/>
        <v>341.28604077666193</v>
      </c>
      <c r="BV39" s="224">
        <f t="shared" si="60"/>
        <v>428.02824214809959</v>
      </c>
      <c r="BW39" s="224">
        <f t="shared" si="60"/>
        <v>524.68932037006527</v>
      </c>
      <c r="BX39" s="224">
        <f t="shared" si="60"/>
        <v>619.09510371377087</v>
      </c>
      <c r="BY39" s="224">
        <f t="shared" si="60"/>
        <v>718.54095279236594</v>
      </c>
      <c r="BZ39" s="224">
        <f t="shared" si="60"/>
        <v>847.25771849532737</v>
      </c>
      <c r="CA39" s="224">
        <f t="shared" si="60"/>
        <v>996.11171791323545</v>
      </c>
      <c r="CB39" s="224">
        <f t="shared" si="60"/>
        <v>1164.9164379420654</v>
      </c>
      <c r="CC39" s="224">
        <f t="shared" ref="CC39:DP39" si="61">CB39*(1+$CB$54)</f>
        <v>1192.291974233704</v>
      </c>
      <c r="CD39" s="224">
        <f t="shared" si="61"/>
        <v>1220.3108356281962</v>
      </c>
      <c r="CE39" s="224">
        <f t="shared" si="61"/>
        <v>1248.9881402654589</v>
      </c>
      <c r="CF39" s="224">
        <f t="shared" si="61"/>
        <v>1278.3393615616974</v>
      </c>
      <c r="CG39" s="224">
        <f t="shared" si="61"/>
        <v>1308.3803365583974</v>
      </c>
      <c r="CH39" s="224">
        <f t="shared" si="61"/>
        <v>1339.1272744675198</v>
      </c>
      <c r="CI39" s="224">
        <f t="shared" si="61"/>
        <v>1370.5967654175065</v>
      </c>
      <c r="CJ39" s="224">
        <f t="shared" si="61"/>
        <v>1402.8057894048179</v>
      </c>
      <c r="CK39" s="224">
        <f t="shared" si="61"/>
        <v>1435.7717254558313</v>
      </c>
      <c r="CL39" s="224">
        <f t="shared" si="61"/>
        <v>1469.5123610040434</v>
      </c>
      <c r="CM39" s="224">
        <f t="shared" si="61"/>
        <v>1504.0459014876385</v>
      </c>
      <c r="CN39" s="224">
        <f t="shared" si="61"/>
        <v>1539.3909801725981</v>
      </c>
      <c r="CO39" s="224">
        <f t="shared" si="61"/>
        <v>1575.5666682066542</v>
      </c>
      <c r="CP39" s="224">
        <f t="shared" si="61"/>
        <v>1612.5924849095106</v>
      </c>
      <c r="CQ39" s="224">
        <f t="shared" si="61"/>
        <v>1650.4884083048842</v>
      </c>
      <c r="CR39" s="224">
        <f t="shared" si="61"/>
        <v>1689.274885900049</v>
      </c>
      <c r="CS39" s="224">
        <f t="shared" si="61"/>
        <v>1728.9728457187002</v>
      </c>
      <c r="CT39" s="224">
        <f t="shared" si="61"/>
        <v>1769.6037075930899</v>
      </c>
      <c r="CU39" s="224">
        <f t="shared" si="61"/>
        <v>1811.1893947215276</v>
      </c>
      <c r="CV39" s="224">
        <f t="shared" si="61"/>
        <v>1853.7523454974837</v>
      </c>
      <c r="CW39" s="224">
        <f t="shared" si="61"/>
        <v>1897.3155256166747</v>
      </c>
      <c r="CX39" s="224">
        <f t="shared" si="61"/>
        <v>1941.9024404686668</v>
      </c>
      <c r="CY39" s="224">
        <f t="shared" si="61"/>
        <v>1987.5371478196805</v>
      </c>
      <c r="CZ39" s="224">
        <f t="shared" si="61"/>
        <v>2034.2442707934431</v>
      </c>
      <c r="DA39" s="224">
        <f t="shared" si="61"/>
        <v>2082.0490111570894</v>
      </c>
      <c r="DB39" s="224">
        <f t="shared" si="61"/>
        <v>2130.977162919281</v>
      </c>
      <c r="DC39" s="224">
        <f t="shared" si="61"/>
        <v>2181.0551262478843</v>
      </c>
      <c r="DD39" s="224">
        <f t="shared" si="61"/>
        <v>2232.3099217147096</v>
      </c>
      <c r="DE39" s="224">
        <f t="shared" si="61"/>
        <v>2284.7692048750055</v>
      </c>
      <c r="DF39" s="224">
        <f t="shared" si="61"/>
        <v>2338.4612811895681</v>
      </c>
      <c r="DG39" s="224">
        <f t="shared" si="61"/>
        <v>2393.415121297523</v>
      </c>
      <c r="DH39" s="224">
        <f t="shared" si="61"/>
        <v>2449.6603766480148</v>
      </c>
      <c r="DI39" s="224">
        <f t="shared" si="61"/>
        <v>2507.2273954992434</v>
      </c>
      <c r="DJ39" s="224">
        <f t="shared" si="61"/>
        <v>2566.1472392934756</v>
      </c>
      <c r="DK39" s="224">
        <f t="shared" si="61"/>
        <v>2626.4516994168725</v>
      </c>
      <c r="DL39" s="224">
        <f t="shared" si="61"/>
        <v>2688.1733143531692</v>
      </c>
      <c r="DM39" s="224">
        <f t="shared" si="61"/>
        <v>2751.3453872404689</v>
      </c>
      <c r="DN39" s="224">
        <f t="shared" si="61"/>
        <v>2816.0020038406201</v>
      </c>
      <c r="DO39" s="224">
        <f t="shared" si="61"/>
        <v>2882.1780509308751</v>
      </c>
      <c r="DP39" s="224">
        <f t="shared" si="61"/>
        <v>2949.9092351277509</v>
      </c>
    </row>
    <row r="40" spans="3:120" ht="13.5" customHeight="1">
      <c r="C40" s="204" t="s">
        <v>295</v>
      </c>
      <c r="D40" s="223">
        <v>5</v>
      </c>
      <c r="E40" s="223">
        <v>5</v>
      </c>
      <c r="F40" s="223">
        <v>8</v>
      </c>
      <c r="G40" s="223">
        <v>12</v>
      </c>
      <c r="H40" s="223">
        <v>30</v>
      </c>
      <c r="I40" s="223">
        <v>30</v>
      </c>
      <c r="J40" s="223">
        <v>31</v>
      </c>
      <c r="K40" s="223">
        <v>30</v>
      </c>
      <c r="L40" s="223">
        <v>32</v>
      </c>
      <c r="M40" s="223">
        <v>33</v>
      </c>
      <c r="N40" s="223">
        <v>33</v>
      </c>
      <c r="O40" s="223">
        <v>33</v>
      </c>
      <c r="P40" s="223">
        <v>34</v>
      </c>
      <c r="Q40" s="223">
        <v>34</v>
      </c>
      <c r="R40" s="223">
        <v>34</v>
      </c>
      <c r="S40" s="223">
        <v>34</v>
      </c>
      <c r="T40" s="223">
        <v>34.506999999999998</v>
      </c>
      <c r="U40" s="223">
        <v>34.694000000000003</v>
      </c>
      <c r="V40" s="223">
        <v>34.840000000000003</v>
      </c>
      <c r="W40" s="223">
        <v>35</v>
      </c>
      <c r="X40" s="223">
        <v>35</v>
      </c>
      <c r="Y40" s="223">
        <v>35.4</v>
      </c>
      <c r="Z40" s="223">
        <v>36.207000000000001</v>
      </c>
      <c r="AA40" s="223">
        <v>37.651000000000003</v>
      </c>
      <c r="AB40" s="223">
        <v>36.454999999999998</v>
      </c>
      <c r="AC40" s="223">
        <v>36.523000000000003</v>
      </c>
      <c r="AD40" s="223">
        <v>36.616999999999997</v>
      </c>
      <c r="AE40" s="223">
        <v>36.700000000000003</v>
      </c>
      <c r="AF40" s="223">
        <v>37.646000000000001</v>
      </c>
      <c r="AG40" s="223">
        <v>37.767000000000003</v>
      </c>
      <c r="AH40" s="223">
        <v>37.917999999999999</v>
      </c>
      <c r="AI40" s="223">
        <v>37.841000000000001</v>
      </c>
      <c r="AJ40" s="223">
        <v>39.07</v>
      </c>
      <c r="AK40" s="223">
        <v>38.15</v>
      </c>
      <c r="AL40" s="223">
        <v>38.956000000000003</v>
      </c>
      <c r="AM40" s="223">
        <v>38.4</v>
      </c>
      <c r="AN40" s="223">
        <v>39.299999999999997</v>
      </c>
      <c r="AO40" s="223">
        <v>38.799999999999997</v>
      </c>
      <c r="AP40" s="223">
        <v>38.6</v>
      </c>
      <c r="AQ40" s="223">
        <v>38.630000000000003</v>
      </c>
      <c r="AR40" s="223">
        <v>38.561999999999998</v>
      </c>
      <c r="AS40" s="223">
        <v>38.834000000000003</v>
      </c>
      <c r="AT40" s="223">
        <v>39.078000000000003</v>
      </c>
      <c r="AU40" s="223">
        <v>38.630000000000003</v>
      </c>
      <c r="AV40" s="223">
        <v>39.274999999999999</v>
      </c>
      <c r="AW40" s="204">
        <v>39.353000000000002</v>
      </c>
      <c r="BH40" s="223">
        <v>12</v>
      </c>
      <c r="BI40" s="223">
        <v>31</v>
      </c>
      <c r="BJ40" s="223">
        <v>33</v>
      </c>
      <c r="BK40" s="223">
        <v>34</v>
      </c>
      <c r="BL40" s="223">
        <v>34.799999999999997</v>
      </c>
      <c r="BM40" s="223">
        <v>35.5</v>
      </c>
      <c r="BN40" s="223">
        <f>AE40</f>
        <v>36.700000000000003</v>
      </c>
      <c r="BO40" s="223">
        <f>AI40</f>
        <v>37.841000000000001</v>
      </c>
      <c r="BP40" s="223">
        <f>AM40</f>
        <v>38.4</v>
      </c>
      <c r="BQ40" s="223">
        <f>AQ40</f>
        <v>38.630000000000003</v>
      </c>
      <c r="BR40" s="223">
        <f>AVERAGE(AR40:AU40)</f>
        <v>38.776000000000003</v>
      </c>
      <c r="BS40" s="225">
        <f>BQ40*1.05</f>
        <v>40.561500000000002</v>
      </c>
      <c r="BT40" s="225">
        <f t="shared" ref="BT40:CB40" si="62">BS40*1.05</f>
        <v>42.589575000000004</v>
      </c>
      <c r="BU40" s="225">
        <f t="shared" si="62"/>
        <v>44.719053750000008</v>
      </c>
      <c r="BV40" s="225">
        <f t="shared" si="62"/>
        <v>46.95500643750001</v>
      </c>
      <c r="BW40" s="225">
        <f t="shared" si="62"/>
        <v>49.302756759375015</v>
      </c>
      <c r="BX40" s="225">
        <f t="shared" si="62"/>
        <v>51.767894597343769</v>
      </c>
      <c r="BY40" s="225">
        <f t="shared" si="62"/>
        <v>54.356289327210959</v>
      </c>
      <c r="BZ40" s="225">
        <f t="shared" si="62"/>
        <v>57.07410379357151</v>
      </c>
      <c r="CA40" s="225">
        <f t="shared" si="62"/>
        <v>59.927808983250088</v>
      </c>
      <c r="CB40" s="225">
        <f t="shared" si="62"/>
        <v>62.924199432412593</v>
      </c>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c r="CY40" s="225"/>
      <c r="CZ40" s="225"/>
      <c r="DA40" s="225"/>
      <c r="DB40" s="225"/>
      <c r="DC40" s="225"/>
      <c r="DD40" s="225"/>
      <c r="DE40" s="225"/>
      <c r="DF40" s="225"/>
      <c r="DG40" s="225"/>
      <c r="DH40" s="225"/>
      <c r="DI40" s="225"/>
      <c r="DJ40" s="225"/>
      <c r="DK40" s="225"/>
      <c r="DL40" s="225"/>
      <c r="DM40" s="225"/>
      <c r="DN40" s="225"/>
      <c r="DO40" s="225"/>
      <c r="DP40" s="225"/>
    </row>
    <row r="41" spans="3:120" ht="13.5" customHeight="1">
      <c r="C41" s="204" t="s">
        <v>296</v>
      </c>
      <c r="D41" s="226">
        <f t="shared" ref="D41:S41" si="63">D39/D40</f>
        <v>0.1</v>
      </c>
      <c r="E41" s="226">
        <f t="shared" si="63"/>
        <v>-0.11000000000000006</v>
      </c>
      <c r="F41" s="226">
        <f t="shared" si="63"/>
        <v>4.0000000000000008E-2</v>
      </c>
      <c r="G41" s="226">
        <f t="shared" si="63"/>
        <v>6.2500000000000014E-2</v>
      </c>
      <c r="H41" s="226">
        <f t="shared" si="63"/>
        <v>8.3333333333333329E-2</v>
      </c>
      <c r="I41" s="226">
        <f t="shared" si="63"/>
        <v>0.1</v>
      </c>
      <c r="J41" s="226">
        <f t="shared" si="63"/>
        <v>0.39354838709677425</v>
      </c>
      <c r="K41" s="226">
        <f t="shared" si="63"/>
        <v>-0.08</v>
      </c>
      <c r="L41" s="226">
        <f t="shared" si="63"/>
        <v>-9.6875000000000003E-2</v>
      </c>
      <c r="M41" s="226">
        <f t="shared" si="63"/>
        <v>-4.8484848484848485E-2</v>
      </c>
      <c r="N41" s="226">
        <f t="shared" si="63"/>
        <v>6.0606060606060606E-3</v>
      </c>
      <c r="O41" s="226">
        <f t="shared" si="63"/>
        <v>0.27575757575757576</v>
      </c>
      <c r="P41" s="226">
        <f t="shared" si="63"/>
        <v>0.16176470588235295</v>
      </c>
      <c r="Q41" s="226">
        <f t="shared" si="63"/>
        <v>0.39411764705882352</v>
      </c>
      <c r="R41" s="226">
        <f t="shared" si="63"/>
        <v>-0.55588235294117638</v>
      </c>
      <c r="S41" s="226">
        <f t="shared" si="63"/>
        <v>0.19176470588235292</v>
      </c>
      <c r="T41" s="226">
        <f>T39/T40</f>
        <v>0.31002405309067727</v>
      </c>
      <c r="U41" s="226">
        <f>U39/U40</f>
        <v>0.4838300570703864</v>
      </c>
      <c r="V41" s="226">
        <f>V39/V40</f>
        <v>0.32959242250287024</v>
      </c>
      <c r="W41" s="226">
        <f>W39/W40</f>
        <v>0.27111428571428853</v>
      </c>
      <c r="X41" s="226">
        <f>X39/X40</f>
        <v>4.3314285714286097E-2</v>
      </c>
      <c r="Y41" s="226">
        <f t="shared" ref="Y41:AP41" si="64">Y39/Y40</f>
        <v>-0.33728813559322079</v>
      </c>
      <c r="Z41" s="226">
        <f t="shared" si="64"/>
        <v>-0.24395835059518883</v>
      </c>
      <c r="AA41" s="226">
        <f t="shared" si="64"/>
        <v>9.70757748798175E-2</v>
      </c>
      <c r="AB41" s="226">
        <f t="shared" si="64"/>
        <v>0.32456453161431909</v>
      </c>
      <c r="AC41" s="226">
        <f t="shared" si="64"/>
        <v>0.25340196588451169</v>
      </c>
      <c r="AD41" s="226">
        <f t="shared" si="64"/>
        <v>0.24147254007701291</v>
      </c>
      <c r="AE41" s="226">
        <f t="shared" si="64"/>
        <v>-0.67207084468665068</v>
      </c>
      <c r="AF41" s="226">
        <f t="shared" si="64"/>
        <v>1.9125537905752908E-3</v>
      </c>
      <c r="AG41" s="226">
        <f t="shared" si="64"/>
        <v>-9.7015913363518586E-2</v>
      </c>
      <c r="AH41" s="226">
        <f t="shared" si="64"/>
        <v>-6.01297536789916E-2</v>
      </c>
      <c r="AI41" s="226">
        <f t="shared" si="64"/>
        <v>0.10227002457651618</v>
      </c>
      <c r="AJ41" s="226">
        <f t="shared" si="64"/>
        <v>0.22022011773739544</v>
      </c>
      <c r="AK41" s="226">
        <f t="shared" si="64"/>
        <v>0.50065530799475755</v>
      </c>
      <c r="AL41" s="226">
        <f t="shared" si="64"/>
        <v>0.23642057706129974</v>
      </c>
      <c r="AM41" s="226">
        <f t="shared" si="64"/>
        <v>1.4087500000000008</v>
      </c>
      <c r="AN41" s="226">
        <f t="shared" si="64"/>
        <v>0.2824427480916028</v>
      </c>
      <c r="AO41" s="226">
        <f t="shared" si="64"/>
        <v>-1.5515463917525785</v>
      </c>
      <c r="AP41" s="226">
        <f t="shared" si="64"/>
        <v>0.76424870466321326</v>
      </c>
      <c r="AQ41" s="226">
        <f>AQ39/AQ40</f>
        <v>0.86953145223919237</v>
      </c>
      <c r="AR41" s="226">
        <f t="shared" ref="AR41:AT41" si="65">AR39/AR40</f>
        <v>1.0171412271147762</v>
      </c>
      <c r="AS41" s="226">
        <f t="shared" si="65"/>
        <v>1.1657310604109801</v>
      </c>
      <c r="AT41" s="226">
        <f t="shared" si="65"/>
        <v>1.1733200266134396</v>
      </c>
      <c r="AU41" s="226">
        <f>AU39/AU40</f>
        <v>1.2255500906031567</v>
      </c>
      <c r="AV41" s="226">
        <f t="shared" ref="AV41:AW41" si="66">AV39/AV40</f>
        <v>0.82963717377466606</v>
      </c>
      <c r="AW41" s="226">
        <f t="shared" si="66"/>
        <v>0.88458313216273177</v>
      </c>
      <c r="AX41" s="208">
        <v>1.29</v>
      </c>
      <c r="AY41" s="208">
        <v>1.47</v>
      </c>
      <c r="AZ41" s="208">
        <v>1.24</v>
      </c>
      <c r="BH41" s="226">
        <f>BH39/BH40</f>
        <v>8.5000000000000006E-2</v>
      </c>
      <c r="BI41" s="226">
        <f t="shared" ref="BI41:CB41" si="67">BI39/BI40</f>
        <v>0.49354838709677429</v>
      </c>
      <c r="BJ41" s="226">
        <f t="shared" si="67"/>
        <v>0.13939393939393938</v>
      </c>
      <c r="BK41" s="226">
        <f t="shared" si="67"/>
        <v>0.19176470588235292</v>
      </c>
      <c r="BL41" s="226">
        <f t="shared" si="67"/>
        <v>1.3924137931034477</v>
      </c>
      <c r="BM41" s="226">
        <f t="shared" si="67"/>
        <v>-0.4394929577464759</v>
      </c>
      <c r="BN41" s="226">
        <f t="shared" si="67"/>
        <v>0.14397820163487643</v>
      </c>
      <c r="BO41" s="226">
        <f t="shared" si="67"/>
        <v>-5.2905578605213728E-2</v>
      </c>
      <c r="BP41" s="226">
        <f t="shared" si="67"/>
        <v>2.3700520833333334</v>
      </c>
      <c r="BQ41" s="226">
        <f t="shared" si="67"/>
        <v>0.36215376650271486</v>
      </c>
      <c r="BR41" s="226">
        <f t="shared" si="29"/>
        <v>4.5817424047423518</v>
      </c>
      <c r="BS41" s="227">
        <f t="shared" si="67"/>
        <v>4.7509294573228322</v>
      </c>
      <c r="BT41" s="227">
        <f t="shared" si="67"/>
        <v>6.172861781699325</v>
      </c>
      <c r="BU41" s="227">
        <f t="shared" si="67"/>
        <v>7.6317813584475021</v>
      </c>
      <c r="BV41" s="227">
        <f t="shared" si="67"/>
        <v>9.1157104347931757</v>
      </c>
      <c r="BW41" s="227">
        <f t="shared" si="67"/>
        <v>10.642190312619681</v>
      </c>
      <c r="BX41" s="227">
        <f t="shared" si="67"/>
        <v>11.959055096390513</v>
      </c>
      <c r="BY41" s="227">
        <f t="shared" si="67"/>
        <v>13.219095006043057</v>
      </c>
      <c r="BZ41" s="227">
        <f t="shared" si="67"/>
        <v>14.844871179400936</v>
      </c>
      <c r="CA41" s="227">
        <f t="shared" si="67"/>
        <v>16.621861116124737</v>
      </c>
      <c r="CB41" s="227">
        <f t="shared" si="67"/>
        <v>18.513011662441759</v>
      </c>
    </row>
    <row r="42" spans="3:120" ht="13.5" customHeight="1">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AU42" s="217"/>
      <c r="BR42" s="217"/>
    </row>
    <row r="43" spans="3:120" ht="13.5" customHeight="1">
      <c r="C43" s="204" t="s">
        <v>477</v>
      </c>
      <c r="D43" s="217">
        <f t="shared" ref="D43:AS43" si="68">D28/D26</f>
        <v>0.68717948717948718</v>
      </c>
      <c r="E43" s="217">
        <f t="shared" si="68"/>
        <v>0.64775413711583929</v>
      </c>
      <c r="F43" s="217">
        <f t="shared" si="68"/>
        <v>0.66468253968253965</v>
      </c>
      <c r="G43" s="217">
        <f t="shared" si="68"/>
        <v>0.66911764705882348</v>
      </c>
      <c r="H43" s="217">
        <f t="shared" si="68"/>
        <v>0.68911917098445596</v>
      </c>
      <c r="I43" s="217">
        <f t="shared" si="68"/>
        <v>0.63748079877112129</v>
      </c>
      <c r="J43" s="217">
        <f t="shared" si="68"/>
        <v>0.63839285714285721</v>
      </c>
      <c r="K43" s="217">
        <f t="shared" si="68"/>
        <v>0.63748290013679887</v>
      </c>
      <c r="L43" s="217">
        <f t="shared" si="68"/>
        <v>0.65163934426229508</v>
      </c>
      <c r="M43" s="217">
        <f t="shared" si="68"/>
        <v>0.63151364764267981</v>
      </c>
      <c r="N43" s="217">
        <f t="shared" si="68"/>
        <v>0.65315852205005964</v>
      </c>
      <c r="O43" s="217">
        <f t="shared" si="68"/>
        <v>0.66389177939646205</v>
      </c>
      <c r="P43" s="217">
        <f t="shared" si="68"/>
        <v>0.6484907497565725</v>
      </c>
      <c r="Q43" s="217">
        <f t="shared" si="68"/>
        <v>0.65875912408759119</v>
      </c>
      <c r="R43" s="217">
        <f t="shared" si="68"/>
        <v>0.67084078711985695</v>
      </c>
      <c r="S43" s="217">
        <f t="shared" si="68"/>
        <v>0.65149006622516548</v>
      </c>
      <c r="T43" s="217">
        <f t="shared" si="68"/>
        <v>0.65330623875925542</v>
      </c>
      <c r="U43" s="217">
        <f t="shared" si="68"/>
        <v>0.69990536583184926</v>
      </c>
      <c r="V43" s="217">
        <f t="shared" si="68"/>
        <v>0.6881478401743345</v>
      </c>
      <c r="W43" s="217">
        <f t="shared" si="68"/>
        <v>0.67551510728963748</v>
      </c>
      <c r="X43" s="217">
        <f t="shared" si="68"/>
        <v>0.64093226511289147</v>
      </c>
      <c r="Y43" s="217">
        <f t="shared" si="68"/>
        <v>0.61750713606089436</v>
      </c>
      <c r="Z43" s="217">
        <f t="shared" si="68"/>
        <v>0.60189940436796829</v>
      </c>
      <c r="AA43" s="217">
        <f t="shared" si="68"/>
        <v>0.56513611963190191</v>
      </c>
      <c r="AB43" s="217">
        <f t="shared" si="68"/>
        <v>0.65799645390070927</v>
      </c>
      <c r="AC43" s="217">
        <f t="shared" si="68"/>
        <v>0.64405860010851879</v>
      </c>
      <c r="AD43" s="217">
        <f t="shared" si="68"/>
        <v>0.6307206733298264</v>
      </c>
      <c r="AE43" s="217">
        <f t="shared" si="68"/>
        <v>0.61497622432472154</v>
      </c>
      <c r="AF43" s="217">
        <f t="shared" si="68"/>
        <v>0.62481608631682195</v>
      </c>
      <c r="AG43" s="217">
        <f t="shared" si="68"/>
        <v>0.64330292846855497</v>
      </c>
      <c r="AH43" s="217">
        <f t="shared" si="68"/>
        <v>0.63313055685540476</v>
      </c>
      <c r="AI43" s="217">
        <f t="shared" si="68"/>
        <v>0.6260684436770283</v>
      </c>
      <c r="AJ43" s="217">
        <f t="shared" si="68"/>
        <v>0.62593206296603154</v>
      </c>
      <c r="AK43" s="217">
        <f t="shared" si="68"/>
        <v>0.63824091778202674</v>
      </c>
      <c r="AL43" s="217">
        <f t="shared" si="68"/>
        <v>0.65596160944998161</v>
      </c>
      <c r="AM43" s="217">
        <f t="shared" si="68"/>
        <v>0.65650463613374543</v>
      </c>
      <c r="AN43" s="217">
        <f t="shared" si="68"/>
        <v>0.65016146393972007</v>
      </c>
      <c r="AO43" s="217">
        <f t="shared" si="68"/>
        <v>0.54375417501670009</v>
      </c>
      <c r="AP43" s="217">
        <f t="shared" si="68"/>
        <v>0.6654485049833887</v>
      </c>
      <c r="AQ43" s="217">
        <f t="shared" si="68"/>
        <v>0.66782884310618063</v>
      </c>
      <c r="AR43" s="217">
        <f t="shared" si="68"/>
        <v>0.66601777009933971</v>
      </c>
      <c r="AS43" s="217">
        <f t="shared" si="68"/>
        <v>0.65991073927324684</v>
      </c>
      <c r="AT43" s="217">
        <v>0.67</v>
      </c>
      <c r="AU43" s="217">
        <f>AU28/AU26</f>
        <v>0.68017177627567238</v>
      </c>
      <c r="AV43" s="217">
        <v>0.67800000000000005</v>
      </c>
      <c r="AW43" s="217">
        <v>0.68500000000000005</v>
      </c>
      <c r="BH43" s="217">
        <f t="shared" ref="BH43:BR43" si="69">BH28/BH26</f>
        <v>0.6668457818377217</v>
      </c>
      <c r="BI43" s="217">
        <f t="shared" si="69"/>
        <v>0.6490695024686669</v>
      </c>
      <c r="BJ43" s="217">
        <f t="shared" si="69"/>
        <v>0.65068903535050926</v>
      </c>
      <c r="BK43" s="217">
        <f t="shared" si="69"/>
        <v>0.65745111260957512</v>
      </c>
      <c r="BL43" s="217">
        <f t="shared" si="69"/>
        <v>0.6795030352409468</v>
      </c>
      <c r="BM43" s="217">
        <f t="shared" si="69"/>
        <v>0.60343996916554254</v>
      </c>
      <c r="BN43" s="217">
        <f t="shared" si="69"/>
        <v>0.63588598028331034</v>
      </c>
      <c r="BO43" s="217">
        <f t="shared" si="69"/>
        <v>0.63178627204937132</v>
      </c>
      <c r="BP43" s="217">
        <f t="shared" si="69"/>
        <v>0.64488153270604243</v>
      </c>
      <c r="BQ43" s="217">
        <f t="shared" si="69"/>
        <v>0.63201071488364302</v>
      </c>
      <c r="BR43" s="217">
        <f t="shared" si="69"/>
        <v>0.67141162599338156</v>
      </c>
      <c r="BS43" s="219">
        <v>0.67</v>
      </c>
      <c r="BT43" s="219">
        <v>0.68500000000000005</v>
      </c>
      <c r="BU43" s="219">
        <v>0.69</v>
      </c>
      <c r="BV43" s="219">
        <v>0.69750000000000001</v>
      </c>
      <c r="BW43" s="219">
        <v>0.7</v>
      </c>
      <c r="BX43" s="219">
        <v>0.70099999999999996</v>
      </c>
      <c r="BY43" s="219">
        <v>0.70199999999999996</v>
      </c>
      <c r="BZ43" s="219">
        <v>0.70299999999999996</v>
      </c>
      <c r="CA43" s="219">
        <v>0.70399999999999996</v>
      </c>
      <c r="CB43" s="219">
        <v>0.70499999999999996</v>
      </c>
    </row>
    <row r="44" spans="3:120" ht="13.5" customHeight="1">
      <c r="C44" s="204" t="s">
        <v>480</v>
      </c>
      <c r="D44" s="217">
        <f t="shared" ref="D44:AS44" si="70">D29/D26</f>
        <v>8.2051282051282051E-2</v>
      </c>
      <c r="E44" s="217">
        <f t="shared" si="70"/>
        <v>0.11347517730496454</v>
      </c>
      <c r="F44" s="217">
        <f t="shared" si="70"/>
        <v>9.1269841269841265E-2</v>
      </c>
      <c r="G44" s="217">
        <f t="shared" si="70"/>
        <v>0.10110294117647059</v>
      </c>
      <c r="H44" s="217">
        <f t="shared" si="70"/>
        <v>8.6355785837651119E-2</v>
      </c>
      <c r="I44" s="217">
        <f t="shared" si="70"/>
        <v>9.6774193548387108E-2</v>
      </c>
      <c r="J44" s="217">
        <f t="shared" si="70"/>
        <v>9.6726190476190466E-2</v>
      </c>
      <c r="K44" s="217">
        <f t="shared" si="70"/>
        <v>8.3447332421340628E-2</v>
      </c>
      <c r="L44" s="217">
        <f t="shared" si="70"/>
        <v>9.5628415300546443E-2</v>
      </c>
      <c r="M44" s="217">
        <f t="shared" si="70"/>
        <v>0.10049627791563276</v>
      </c>
      <c r="N44" s="217">
        <f t="shared" si="70"/>
        <v>9.6543504171632891E-2</v>
      </c>
      <c r="O44" s="217">
        <f t="shared" si="70"/>
        <v>8.7408949011446413E-2</v>
      </c>
      <c r="P44" s="217">
        <f t="shared" si="70"/>
        <v>7.7896786757546244E-2</v>
      </c>
      <c r="Q44" s="217">
        <f t="shared" si="70"/>
        <v>7.4817518248175174E-2</v>
      </c>
      <c r="R44" s="217">
        <f t="shared" si="70"/>
        <v>0.35688729874776387</v>
      </c>
      <c r="S44" s="217">
        <f t="shared" si="70"/>
        <v>9.0231788079470202E-2</v>
      </c>
      <c r="T44" s="217">
        <f t="shared" si="70"/>
        <v>9.0836895335528925E-2</v>
      </c>
      <c r="U44" s="217">
        <f t="shared" si="70"/>
        <v>0.10031221823980448</v>
      </c>
      <c r="V44" s="217">
        <f t="shared" si="70"/>
        <v>9.8443033074794628E-2</v>
      </c>
      <c r="W44" s="217">
        <f t="shared" si="70"/>
        <v>8.8537184791513193E-2</v>
      </c>
      <c r="X44" s="217">
        <f t="shared" si="70"/>
        <v>9.4289876183539678E-2</v>
      </c>
      <c r="Y44" s="217">
        <f t="shared" si="70"/>
        <v>0.21622264509990488</v>
      </c>
      <c r="Z44" s="217">
        <f t="shared" si="70"/>
        <v>0.23112508272667109</v>
      </c>
      <c r="AA44" s="217">
        <f t="shared" si="70"/>
        <v>0.11655842599693257</v>
      </c>
      <c r="AB44" s="217">
        <f t="shared" si="70"/>
        <v>0.10683215130023642</v>
      </c>
      <c r="AC44" s="217">
        <f t="shared" si="70"/>
        <v>9.624525230602278E-2</v>
      </c>
      <c r="AD44" s="217">
        <f t="shared" si="70"/>
        <v>8.8006312467122566E-2</v>
      </c>
      <c r="AE44" s="217">
        <f t="shared" si="70"/>
        <v>0.25495367419971571</v>
      </c>
      <c r="AF44" s="217">
        <f t="shared" si="70"/>
        <v>0.10083374203040706</v>
      </c>
      <c r="AG44" s="217">
        <f t="shared" si="70"/>
        <v>9.3898223715794524E-2</v>
      </c>
      <c r="AH44" s="217">
        <f t="shared" si="70"/>
        <v>9.9766027140851671E-2</v>
      </c>
      <c r="AI44" s="217">
        <f t="shared" si="70"/>
        <v>8.1217539878770353E-2</v>
      </c>
      <c r="AJ44" s="217">
        <f t="shared" si="70"/>
        <v>8.2767191383595687E-2</v>
      </c>
      <c r="AK44" s="217">
        <f t="shared" si="70"/>
        <v>8.2217973231357558E-2</v>
      </c>
      <c r="AL44" s="217">
        <f t="shared" si="70"/>
        <v>7.7519379844961253E-2</v>
      </c>
      <c r="AM44" s="217">
        <f t="shared" si="70"/>
        <v>7.6987917954481594E-2</v>
      </c>
      <c r="AN44" s="217">
        <f t="shared" si="70"/>
        <v>8.8266953713670618E-2</v>
      </c>
      <c r="AO44" s="217">
        <f t="shared" si="70"/>
        <v>8.3166332665330661E-2</v>
      </c>
      <c r="AP44" s="217">
        <f t="shared" si="70"/>
        <v>8.3720930232558138E-2</v>
      </c>
      <c r="AQ44" s="217">
        <f t="shared" si="70"/>
        <v>6.3708399366085564E-2</v>
      </c>
      <c r="AR44" s="217">
        <f t="shared" si="70"/>
        <v>6.8109458875794421E-2</v>
      </c>
      <c r="AS44" s="217">
        <f t="shared" si="70"/>
        <v>6.8397873061230505E-2</v>
      </c>
      <c r="AT44" s="217">
        <v>6.8000000000000005E-2</v>
      </c>
      <c r="AU44" s="217">
        <f>AU29/AU26</f>
        <v>5.6551240966825372E-2</v>
      </c>
      <c r="AV44" s="217">
        <v>7.2999999999999995E-2</v>
      </c>
      <c r="AW44" s="217">
        <v>7.4999999999999997E-2</v>
      </c>
      <c r="BH44" s="217">
        <f t="shared" ref="BH44:BR44" si="71">BH29/BH26</f>
        <v>9.7259537882858682E-2</v>
      </c>
      <c r="BI44" s="217">
        <f t="shared" si="71"/>
        <v>9.0770983668818847E-2</v>
      </c>
      <c r="BJ44" s="217">
        <f t="shared" si="71"/>
        <v>9.4667465548232479E-2</v>
      </c>
      <c r="BK44" s="217">
        <f t="shared" si="71"/>
        <v>0.15059563946954371</v>
      </c>
      <c r="BL44" s="217">
        <f t="shared" si="71"/>
        <v>9.4487973211692292E-2</v>
      </c>
      <c r="BM44" s="217">
        <f t="shared" si="71"/>
        <v>0.16068356851744789</v>
      </c>
      <c r="BN44" s="217">
        <f t="shared" si="71"/>
        <v>0.13985205794620045</v>
      </c>
      <c r="BO44" s="217">
        <f t="shared" si="71"/>
        <v>9.3736166575968588E-2</v>
      </c>
      <c r="BP44" s="217">
        <f t="shared" si="71"/>
        <v>7.9733968181989953E-2</v>
      </c>
      <c r="BQ44" s="217">
        <f t="shared" si="71"/>
        <v>7.9357106981416375E-2</v>
      </c>
      <c r="BR44" s="217">
        <f t="shared" si="71"/>
        <v>6.3951156436899123E-2</v>
      </c>
      <c r="BS44" s="219">
        <v>7.8E-2</v>
      </c>
      <c r="BT44" s="219">
        <v>7.9000000000000001E-2</v>
      </c>
      <c r="BU44" s="219">
        <v>0.08</v>
      </c>
      <c r="BV44" s="219">
        <v>8.5000000000000006E-2</v>
      </c>
      <c r="BW44" s="219">
        <v>8.5000000000000006E-2</v>
      </c>
      <c r="BX44" s="219">
        <v>0.09</v>
      </c>
      <c r="BY44" s="219">
        <v>0.1</v>
      </c>
      <c r="BZ44" s="219">
        <v>0.1</v>
      </c>
      <c r="CA44" s="219">
        <v>0.1</v>
      </c>
      <c r="CB44" s="219">
        <v>0.1</v>
      </c>
    </row>
    <row r="45" spans="3:120" ht="13.5" customHeight="1">
      <c r="C45" s="204" t="s">
        <v>491</v>
      </c>
      <c r="D45" s="217">
        <f t="shared" ref="D45:AS45" si="72">D30/D26</f>
        <v>0.5</v>
      </c>
      <c r="E45" s="217">
        <f t="shared" si="72"/>
        <v>0.62411347517730498</v>
      </c>
      <c r="F45" s="217">
        <f t="shared" si="72"/>
        <v>0.53174603174603174</v>
      </c>
      <c r="G45" s="217">
        <f t="shared" si="72"/>
        <v>0.53676470588235292</v>
      </c>
      <c r="H45" s="217">
        <f t="shared" si="72"/>
        <v>0.57167530224525043</v>
      </c>
      <c r="I45" s="217">
        <f t="shared" si="72"/>
        <v>0.55145929339477728</v>
      </c>
      <c r="J45" s="217">
        <f t="shared" si="72"/>
        <v>0.56101190476190477</v>
      </c>
      <c r="K45" s="217">
        <f t="shared" si="72"/>
        <v>0.56908344733242144</v>
      </c>
      <c r="L45" s="217">
        <f t="shared" si="72"/>
        <v>0.58333333333333337</v>
      </c>
      <c r="M45" s="217">
        <f t="shared" si="72"/>
        <v>0.54838709677419362</v>
      </c>
      <c r="N45" s="217">
        <f t="shared" si="72"/>
        <v>0.54827175208581647</v>
      </c>
      <c r="O45" s="217">
        <f t="shared" si="72"/>
        <v>0.53590010405827271</v>
      </c>
      <c r="P45" s="217">
        <f t="shared" si="72"/>
        <v>0.53067185978578379</v>
      </c>
      <c r="Q45" s="217">
        <f t="shared" si="72"/>
        <v>0.5</v>
      </c>
      <c r="R45" s="217">
        <f t="shared" si="72"/>
        <v>0.5</v>
      </c>
      <c r="S45" s="217">
        <f t="shared" si="72"/>
        <v>0.50662251655629142</v>
      </c>
      <c r="T45" s="217">
        <f t="shared" si="72"/>
        <v>0.47564213361985069</v>
      </c>
      <c r="U45" s="217">
        <f t="shared" si="72"/>
        <v>0.50420637700166171</v>
      </c>
      <c r="V45" s="217">
        <f t="shared" si="72"/>
        <v>0.49668821952373443</v>
      </c>
      <c r="W45" s="217">
        <f t="shared" si="72"/>
        <v>0.51416415968498042</v>
      </c>
      <c r="X45" s="217">
        <f t="shared" si="72"/>
        <v>0.5422651128914785</v>
      </c>
      <c r="Y45" s="217">
        <f t="shared" si="72"/>
        <v>0.56898192197906761</v>
      </c>
      <c r="Z45" s="217">
        <f t="shared" si="72"/>
        <v>0.50430178689609539</v>
      </c>
      <c r="AA45" s="217">
        <f t="shared" si="72"/>
        <v>0.45901433090490795</v>
      </c>
      <c r="AB45" s="217">
        <f t="shared" si="72"/>
        <v>0.47161938534278963</v>
      </c>
      <c r="AC45" s="217">
        <f t="shared" si="72"/>
        <v>0.49175257731958755</v>
      </c>
      <c r="AD45" s="217">
        <f t="shared" si="72"/>
        <v>0.49656496580746978</v>
      </c>
      <c r="AE45" s="217">
        <f t="shared" si="72"/>
        <v>0.55642923672729072</v>
      </c>
      <c r="AF45" s="217">
        <f t="shared" si="72"/>
        <v>0.54389406571848942</v>
      </c>
      <c r="AG45" s="217">
        <f t="shared" si="72"/>
        <v>0.55024003840614488</v>
      </c>
      <c r="AH45" s="217">
        <f t="shared" si="72"/>
        <v>0.5080486663547028</v>
      </c>
      <c r="AI45" s="217">
        <f t="shared" si="72"/>
        <v>0.52267518860206241</v>
      </c>
      <c r="AJ45" s="217">
        <f t="shared" si="72"/>
        <v>0.50981772990886487</v>
      </c>
      <c r="AK45" s="217">
        <f t="shared" si="72"/>
        <v>0.48718929254302107</v>
      </c>
      <c r="AL45" s="217">
        <f t="shared" si="72"/>
        <v>0.46474713916574389</v>
      </c>
      <c r="AM45" s="217">
        <f t="shared" si="72"/>
        <v>0.45669429615060397</v>
      </c>
      <c r="AN45" s="217">
        <f t="shared" si="72"/>
        <v>0.51811984212414786</v>
      </c>
      <c r="AO45" s="217">
        <f t="shared" si="72"/>
        <v>0.4739478957915832</v>
      </c>
      <c r="AP45" s="217">
        <f t="shared" si="72"/>
        <v>0.46411960132890362</v>
      </c>
      <c r="AQ45" s="217">
        <f t="shared" si="72"/>
        <v>0.46909667194928684</v>
      </c>
      <c r="AR45" s="217">
        <f t="shared" si="72"/>
        <v>0.47342506324427713</v>
      </c>
      <c r="AS45" s="217">
        <f t="shared" si="72"/>
        <v>0.47123771928532504</v>
      </c>
      <c r="AT45" s="217">
        <v>0.47</v>
      </c>
      <c r="AU45" s="217">
        <f>AU30/AU26</f>
        <v>0.46992228550670123</v>
      </c>
      <c r="AV45" s="217">
        <v>0.46600000000000003</v>
      </c>
      <c r="AW45" s="217">
        <v>0.46400000000000002</v>
      </c>
      <c r="BH45" s="217">
        <f t="shared" ref="BH45:BR45" si="73">BH30/BH26</f>
        <v>0.5475550779150995</v>
      </c>
      <c r="BI45" s="217">
        <f t="shared" si="73"/>
        <v>0.56323585263957476</v>
      </c>
      <c r="BJ45" s="217">
        <f t="shared" si="73"/>
        <v>0.55242660275614142</v>
      </c>
      <c r="BK45" s="217">
        <f t="shared" si="73"/>
        <v>0.50887839964036852</v>
      </c>
      <c r="BL45" s="217">
        <f t="shared" si="73"/>
        <v>0.49823073676980212</v>
      </c>
      <c r="BM45" s="217">
        <f t="shared" si="73"/>
        <v>0.51224456292870235</v>
      </c>
      <c r="BN45" s="217">
        <f t="shared" si="73"/>
        <v>0.50606749689000652</v>
      </c>
      <c r="BO45" s="217">
        <f t="shared" si="73"/>
        <v>0.53087059529023184</v>
      </c>
      <c r="BP45" s="217">
        <f t="shared" si="73"/>
        <v>0.47840380909193969</v>
      </c>
      <c r="BQ45" s="217">
        <f t="shared" si="73"/>
        <v>0.48049556336849158</v>
      </c>
      <c r="BR45" s="217">
        <f t="shared" si="73"/>
        <v>0.47263556475369839</v>
      </c>
      <c r="BS45" s="219">
        <v>0.47499999999999998</v>
      </c>
      <c r="BT45" s="219">
        <v>0.46</v>
      </c>
      <c r="BU45" s="219">
        <v>0.45300000000000001</v>
      </c>
      <c r="BV45" s="219">
        <v>0.44700000000000001</v>
      </c>
      <c r="BW45" s="219">
        <v>0.443</v>
      </c>
      <c r="BX45" s="219">
        <v>0.44</v>
      </c>
      <c r="BY45" s="219">
        <v>0.434</v>
      </c>
      <c r="BZ45" s="219">
        <v>0.43</v>
      </c>
      <c r="CA45" s="219">
        <v>0.42499999999999999</v>
      </c>
      <c r="CB45" s="219">
        <v>0.42</v>
      </c>
    </row>
    <row r="46" spans="3:120" ht="13.5" customHeight="1">
      <c r="C46" s="204" t="s">
        <v>478</v>
      </c>
      <c r="D46" s="217">
        <f t="shared" ref="D46:AW46" si="74">D33/D26</f>
        <v>0.10256410256410256</v>
      </c>
      <c r="E46" s="217">
        <f t="shared" si="74"/>
        <v>-8.9834515366430279E-2</v>
      </c>
      <c r="F46" s="217">
        <f t="shared" si="74"/>
        <v>4.3650793650793634E-2</v>
      </c>
      <c r="G46" s="217">
        <f t="shared" si="74"/>
        <v>3.3088235294117599E-2</v>
      </c>
      <c r="H46" s="217">
        <f t="shared" si="74"/>
        <v>3.1088082901554355E-2</v>
      </c>
      <c r="I46" s="217">
        <f t="shared" si="74"/>
        <v>-1.0752688172043055E-2</v>
      </c>
      <c r="J46" s="217">
        <f t="shared" si="74"/>
        <v>-2.0833333333333311E-2</v>
      </c>
      <c r="K46" s="217">
        <f t="shared" si="74"/>
        <v>-1.6415868673050754E-2</v>
      </c>
      <c r="L46" s="217">
        <f t="shared" si="74"/>
        <v>-2.7322404371584699E-2</v>
      </c>
      <c r="M46" s="217">
        <f t="shared" si="74"/>
        <v>-1.6129032258064658E-2</v>
      </c>
      <c r="N46" s="217">
        <f t="shared" si="74"/>
        <v>8.3432657926102837E-3</v>
      </c>
      <c r="O46" s="217">
        <f t="shared" si="74"/>
        <v>4.0582726326742966E-2</v>
      </c>
      <c r="P46" s="217">
        <f t="shared" si="74"/>
        <v>3.8948393378773052E-2</v>
      </c>
      <c r="Q46" s="217">
        <f t="shared" si="74"/>
        <v>8.4854014598540056E-2</v>
      </c>
      <c r="R46" s="217">
        <f t="shared" si="74"/>
        <v>-0.18604651162790695</v>
      </c>
      <c r="S46" s="217">
        <f t="shared" si="74"/>
        <v>5.5463576158940188E-2</v>
      </c>
      <c r="T46" s="217">
        <f t="shared" si="74"/>
        <v>8.6827209803875788E-2</v>
      </c>
      <c r="U46" s="217">
        <f t="shared" si="74"/>
        <v>9.5386770590383002E-2</v>
      </c>
      <c r="V46" s="217">
        <f t="shared" si="74"/>
        <v>9.301658757580536E-2</v>
      </c>
      <c r="W46" s="217">
        <f t="shared" si="74"/>
        <v>7.2813762813143876E-2</v>
      </c>
      <c r="X46" s="217">
        <f t="shared" si="74"/>
        <v>4.377276037873367E-3</v>
      </c>
      <c r="Y46" s="217">
        <f t="shared" si="74"/>
        <v>-0.16769743101807816</v>
      </c>
      <c r="Z46" s="217">
        <f t="shared" si="74"/>
        <v>-0.13352746525479817</v>
      </c>
      <c r="AA46" s="217">
        <f t="shared" si="74"/>
        <v>-1.0436637269938589E-2</v>
      </c>
      <c r="AB46" s="217">
        <f t="shared" si="74"/>
        <v>7.9544917257683243E-2</v>
      </c>
      <c r="AC46" s="217">
        <f t="shared" si="74"/>
        <v>5.6060770482908417E-2</v>
      </c>
      <c r="AD46" s="217">
        <f t="shared" si="74"/>
        <v>4.6149395055233994E-2</v>
      </c>
      <c r="AE46" s="217">
        <f t="shared" si="74"/>
        <v>-0.19640668660228483</v>
      </c>
      <c r="AF46" s="217">
        <f t="shared" si="74"/>
        <v>-1.9911721432074557E-2</v>
      </c>
      <c r="AG46" s="217">
        <f t="shared" si="74"/>
        <v>-8.3533365338457318E-4</v>
      </c>
      <c r="AH46" s="217">
        <f t="shared" si="74"/>
        <v>2.5315863359850244E-2</v>
      </c>
      <c r="AI46" s="217">
        <f t="shared" si="74"/>
        <v>2.2175715196195642E-2</v>
      </c>
      <c r="AJ46" s="217">
        <f t="shared" si="74"/>
        <v>3.3347141673571001E-2</v>
      </c>
      <c r="AK46" s="217">
        <f t="shared" si="74"/>
        <v>6.8833652007648183E-2</v>
      </c>
      <c r="AL46" s="217">
        <f t="shared" si="74"/>
        <v>4.651162790697673E-2</v>
      </c>
      <c r="AM46" s="217">
        <f t="shared" si="74"/>
        <v>0.12282242202865983</v>
      </c>
      <c r="AN46" s="217">
        <f t="shared" si="74"/>
        <v>4.377466810190165E-2</v>
      </c>
      <c r="AO46" s="217">
        <f t="shared" si="74"/>
        <v>-0.27020708082832345</v>
      </c>
      <c r="AP46" s="217">
        <f t="shared" si="74"/>
        <v>0.11760797342192703</v>
      </c>
      <c r="AQ46" s="217">
        <f t="shared" si="74"/>
        <v>0.13489698890649762</v>
      </c>
      <c r="AR46" s="217">
        <f t="shared" si="74"/>
        <v>0.1244832479792682</v>
      </c>
      <c r="AS46" s="217">
        <f t="shared" si="74"/>
        <v>0.12027514692669133</v>
      </c>
      <c r="AT46" s="217">
        <f t="shared" si="74"/>
        <v>0.13769401017804528</v>
      </c>
      <c r="AU46" s="217">
        <f t="shared" si="74"/>
        <v>0.15369824980214578</v>
      </c>
      <c r="AV46" s="217">
        <f t="shared" si="74"/>
        <v>0.10202317228718269</v>
      </c>
      <c r="AW46" s="217">
        <f t="shared" si="74"/>
        <v>0.10521579506006981</v>
      </c>
      <c r="BH46" s="217">
        <f t="shared" ref="BH46:CB46" si="75">BH33/BH26</f>
        <v>2.2568511552928511E-2</v>
      </c>
      <c r="BI46" s="217">
        <f t="shared" si="75"/>
        <v>-5.6969236612229943E-3</v>
      </c>
      <c r="BJ46" s="217">
        <f t="shared" si="75"/>
        <v>3.8945476333133314E-3</v>
      </c>
      <c r="BK46" s="217">
        <f t="shared" si="75"/>
        <v>-1.798156889188671E-3</v>
      </c>
      <c r="BL46" s="217">
        <f t="shared" si="75"/>
        <v>8.6784325259452302E-2</v>
      </c>
      <c r="BM46" s="217">
        <f t="shared" si="75"/>
        <v>-6.948816228060764E-2</v>
      </c>
      <c r="BN46" s="217">
        <f t="shared" si="75"/>
        <v>-1.0033574552896685E-2</v>
      </c>
      <c r="BO46" s="217">
        <f t="shared" si="75"/>
        <v>7.1795101831708917E-3</v>
      </c>
      <c r="BP46" s="217">
        <f t="shared" si="75"/>
        <v>6.9549937648792665E-2</v>
      </c>
      <c r="BQ46" s="217">
        <f t="shared" si="75"/>
        <v>7.751548635526434E-3</v>
      </c>
      <c r="BR46" s="217">
        <f t="shared" si="75"/>
        <v>0.13482490480278411</v>
      </c>
      <c r="BS46" s="219">
        <f t="shared" si="75"/>
        <v>0.11700000000000008</v>
      </c>
      <c r="BT46" s="219">
        <f t="shared" si="75"/>
        <v>0.14600000000000013</v>
      </c>
      <c r="BU46" s="219">
        <f t="shared" si="75"/>
        <v>0.15699999999999992</v>
      </c>
      <c r="BV46" s="219">
        <f t="shared" si="75"/>
        <v>0.16549999999999995</v>
      </c>
      <c r="BW46" s="219">
        <f t="shared" si="75"/>
        <v>0.1719999999999999</v>
      </c>
      <c r="BX46" s="219">
        <f t="shared" si="75"/>
        <v>0.17099999999999999</v>
      </c>
      <c r="BY46" s="219">
        <f t="shared" si="75"/>
        <v>0.1679999999999999</v>
      </c>
      <c r="BZ46" s="219">
        <f t="shared" si="75"/>
        <v>0.17299999999999999</v>
      </c>
      <c r="CA46" s="219">
        <f t="shared" si="75"/>
        <v>0.17899999999999999</v>
      </c>
      <c r="CB46" s="219">
        <f t="shared" si="75"/>
        <v>0.18499999999999997</v>
      </c>
    </row>
    <row r="47" spans="3:120" ht="13.5" customHeight="1">
      <c r="C47" s="204" t="s">
        <v>572</v>
      </c>
      <c r="D47" s="217">
        <f t="shared" ref="D47:AS47" si="76">D36/D35</f>
        <v>0.39534883720930231</v>
      </c>
      <c r="E47" s="217">
        <f t="shared" si="76"/>
        <v>0.35714285714285704</v>
      </c>
      <c r="F47" s="217">
        <f t="shared" si="76"/>
        <v>0.57142857142857162</v>
      </c>
      <c r="G47" s="217">
        <f t="shared" si="76"/>
        <v>0.105263157894737</v>
      </c>
      <c r="H47" s="217">
        <f t="shared" si="76"/>
        <v>-9.5238095238095385E-2</v>
      </c>
      <c r="I47" s="217">
        <f t="shared" si="76"/>
        <v>8.4999999999999396</v>
      </c>
      <c r="J47" s="217">
        <f t="shared" si="76"/>
        <v>11.818181818181834</v>
      </c>
      <c r="K47" s="217">
        <f t="shared" si="76"/>
        <v>-0.56249999999999656</v>
      </c>
      <c r="L47" s="217">
        <f t="shared" si="76"/>
        <v>-0.82352941176470584</v>
      </c>
      <c r="M47" s="217">
        <f t="shared" si="76"/>
        <v>-0.55555555555554859</v>
      </c>
      <c r="N47" s="217">
        <f t="shared" si="76"/>
        <v>0.38461538461538375</v>
      </c>
      <c r="O47" s="217">
        <f t="shared" si="76"/>
        <v>-1.5128205128205134</v>
      </c>
      <c r="P47" s="217">
        <f t="shared" si="76"/>
        <v>-0.42222222222222289</v>
      </c>
      <c r="Q47" s="217">
        <f t="shared" si="76"/>
        <v>-0.50515463917525827</v>
      </c>
      <c r="R47" s="217">
        <f t="shared" si="76"/>
        <v>-8.0402010050251271E-2</v>
      </c>
      <c r="S47" s="217">
        <f t="shared" si="76"/>
        <v>0.12162162162162204</v>
      </c>
      <c r="T47" s="217">
        <f t="shared" si="76"/>
        <v>0.12217650516416156</v>
      </c>
      <c r="U47" s="217">
        <f t="shared" si="76"/>
        <v>-0.20238271422228815</v>
      </c>
      <c r="V47" s="217">
        <f t="shared" si="76"/>
        <v>0.15143099591144024</v>
      </c>
      <c r="W47" s="217">
        <f t="shared" si="76"/>
        <v>0.20839363241678549</v>
      </c>
      <c r="X47" s="217">
        <f t="shared" si="76"/>
        <v>2.4946564885496687</v>
      </c>
      <c r="Y47" s="217">
        <f t="shared" si="76"/>
        <v>0.24275383620436217</v>
      </c>
      <c r="Z47" s="217">
        <f t="shared" si="76"/>
        <v>0.49901260823332821</v>
      </c>
      <c r="AA47" s="217">
        <f t="shared" si="76"/>
        <v>6.223762376237743</v>
      </c>
      <c r="AB47" s="217">
        <f t="shared" si="76"/>
        <v>0.12364599213672467</v>
      </c>
      <c r="AC47" s="217">
        <f t="shared" si="76"/>
        <v>0.18585542404382235</v>
      </c>
      <c r="AD47" s="217">
        <f t="shared" si="76"/>
        <v>-3.2029843066632438E-2</v>
      </c>
      <c r="AE47" s="217">
        <f t="shared" si="76"/>
        <v>0.39834480738245126</v>
      </c>
      <c r="AF47" s="217">
        <f t="shared" si="76"/>
        <v>1.0140872627665813</v>
      </c>
      <c r="AG47" s="217">
        <f t="shared" si="76"/>
        <v>-2.20279720279719</v>
      </c>
      <c r="AH47" s="217">
        <f t="shared" si="76"/>
        <v>1.7549668874172206</v>
      </c>
      <c r="AI47" s="217">
        <f t="shared" si="76"/>
        <v>0.45699452785183436</v>
      </c>
      <c r="AJ47" s="217">
        <f t="shared" si="76"/>
        <v>1.0351966873705955E-2</v>
      </c>
      <c r="AK47" s="217">
        <f t="shared" si="76"/>
        <v>2.551020408163265E-2</v>
      </c>
      <c r="AL47" s="217">
        <f t="shared" si="76"/>
        <v>0.30751879699248136</v>
      </c>
      <c r="AM47" s="217">
        <f t="shared" si="76"/>
        <v>-0.41924651065169455</v>
      </c>
      <c r="AN47" s="217">
        <f t="shared" si="76"/>
        <v>0.24489795918367366</v>
      </c>
      <c r="AO47" s="217">
        <f t="shared" si="76"/>
        <v>0.22622107969151661</v>
      </c>
      <c r="AP47" s="217">
        <f t="shared" si="76"/>
        <v>0.25879396984924602</v>
      </c>
      <c r="AQ47" s="217">
        <f t="shared" si="76"/>
        <v>0.23918459796149494</v>
      </c>
      <c r="AR47" s="217">
        <f t="shared" si="76"/>
        <v>0.10568197364220895</v>
      </c>
      <c r="AS47" s="217">
        <f t="shared" si="76"/>
        <v>8.8280732730081654E-4</v>
      </c>
      <c r="AT47" s="217">
        <v>0.2</v>
      </c>
      <c r="AU47" s="217">
        <f>AU36/AU35</f>
        <v>0.2559875534322355</v>
      </c>
      <c r="AV47" s="217">
        <v>0.23</v>
      </c>
      <c r="AW47" s="217">
        <v>0.23</v>
      </c>
      <c r="BH47" s="217">
        <f t="shared" ref="BH47:BR47" si="77">BH36/BH35</f>
        <v>0.39024390243902479</v>
      </c>
      <c r="BI47" s="228">
        <f t="shared" si="77"/>
        <v>15.699999999999777</v>
      </c>
      <c r="BJ47" s="217">
        <f t="shared" si="77"/>
        <v>-1.3461538461538514</v>
      </c>
      <c r="BK47" s="217">
        <f t="shared" si="77"/>
        <v>-2.5294117647059431</v>
      </c>
      <c r="BL47" s="217">
        <f t="shared" si="77"/>
        <v>6.2453872698621696E-2</v>
      </c>
      <c r="BM47" s="217">
        <f t="shared" si="77"/>
        <v>0.49477820560156266</v>
      </c>
      <c r="BN47" s="217">
        <f t="shared" si="77"/>
        <v>1.2497619501047379</v>
      </c>
      <c r="BO47" s="217">
        <f t="shared" si="77"/>
        <v>1.5143884892085913</v>
      </c>
      <c r="BP47" s="217">
        <f t="shared" si="77"/>
        <v>-0.1417638941161711</v>
      </c>
      <c r="BQ47" s="217">
        <f t="shared" si="77"/>
        <v>0.3290167865707454</v>
      </c>
      <c r="BR47" s="217">
        <f t="shared" si="77"/>
        <v>0.13376234003656309</v>
      </c>
      <c r="BS47" s="219">
        <v>0.12</v>
      </c>
      <c r="BT47" s="219">
        <v>0.2</v>
      </c>
      <c r="BU47" s="219">
        <v>0.2</v>
      </c>
      <c r="BV47" s="219">
        <v>0.2</v>
      </c>
      <c r="BW47" s="219">
        <v>0.2</v>
      </c>
      <c r="BX47" s="219">
        <v>0.2</v>
      </c>
      <c r="BY47" s="219">
        <v>0.2</v>
      </c>
      <c r="BZ47" s="219">
        <v>0.2</v>
      </c>
      <c r="CA47" s="219">
        <v>0.2</v>
      </c>
      <c r="CB47" s="219">
        <v>0.2</v>
      </c>
    </row>
    <row r="48" spans="3:120" ht="13.5" customHeight="1">
      <c r="C48" s="204" t="s">
        <v>479</v>
      </c>
      <c r="D48" s="217">
        <f t="shared" ref="D48:AS48" si="78">D37/D26</f>
        <v>6.4102564102564097E-2</v>
      </c>
      <c r="E48" s="217">
        <f t="shared" si="78"/>
        <v>-6.3829787234042562E-2</v>
      </c>
      <c r="F48" s="217">
        <f t="shared" si="78"/>
        <v>1.785714285714286E-2</v>
      </c>
      <c r="G48" s="217">
        <f t="shared" si="78"/>
        <v>2.9411764705882356E-2</v>
      </c>
      <c r="H48" s="217">
        <f t="shared" si="78"/>
        <v>3.9723661485319514E-2</v>
      </c>
      <c r="I48" s="217">
        <f t="shared" si="78"/>
        <v>4.6082949308755762E-2</v>
      </c>
      <c r="J48" s="217">
        <f t="shared" si="78"/>
        <v>0.17708333333333334</v>
      </c>
      <c r="K48" s="217">
        <f t="shared" si="78"/>
        <v>-3.2831737346101231E-2</v>
      </c>
      <c r="L48" s="217">
        <f t="shared" si="78"/>
        <v>-4.2349726775956283E-2</v>
      </c>
      <c r="M48" s="217">
        <f t="shared" si="78"/>
        <v>-1.9851116625310177E-2</v>
      </c>
      <c r="N48" s="217">
        <f t="shared" si="78"/>
        <v>2.3837902264600714E-3</v>
      </c>
      <c r="O48" s="217">
        <f t="shared" si="78"/>
        <v>9.4693028095733614E-2</v>
      </c>
      <c r="P48" s="217">
        <f t="shared" si="78"/>
        <v>5.3554040895813046E-2</v>
      </c>
      <c r="Q48" s="217">
        <f t="shared" si="78"/>
        <v>0.12226277372262774</v>
      </c>
      <c r="R48" s="217">
        <f t="shared" si="78"/>
        <v>-0.20035778175313057</v>
      </c>
      <c r="S48" s="217">
        <f t="shared" si="78"/>
        <v>5.3807947019867554E-2</v>
      </c>
      <c r="T48" s="217">
        <f t="shared" si="78"/>
        <v>8.1392723393984706E-2</v>
      </c>
      <c r="U48" s="217">
        <f t="shared" si="78"/>
        <v>0.1210795746678489</v>
      </c>
      <c r="V48" s="217">
        <f t="shared" si="78"/>
        <v>7.8851916101561267E-2</v>
      </c>
      <c r="W48" s="217">
        <f t="shared" si="78"/>
        <v>6.4015806031901851E-2</v>
      </c>
      <c r="X48" s="217">
        <f t="shared" si="78"/>
        <v>7.1303714493810132E-3</v>
      </c>
      <c r="Y48" s="217">
        <f t="shared" si="78"/>
        <v>-0.12254995242626085</v>
      </c>
      <c r="Z48" s="217">
        <f t="shared" si="78"/>
        <v>-6.5479814692256805E-2</v>
      </c>
      <c r="AA48" s="217">
        <f t="shared" si="78"/>
        <v>1.5804735429447901E-2</v>
      </c>
      <c r="AB48" s="217">
        <f t="shared" si="78"/>
        <v>6.4550827423167867E-2</v>
      </c>
      <c r="AC48" s="217">
        <f t="shared" si="78"/>
        <v>4.5160065111231801E-2</v>
      </c>
      <c r="AD48" s="217">
        <f t="shared" si="78"/>
        <v>4.2204103103629577E-2</v>
      </c>
      <c r="AE48" s="217">
        <f t="shared" si="78"/>
        <v>-0.12081474582087397</v>
      </c>
      <c r="AF48" s="217">
        <f t="shared" si="78"/>
        <v>3.5311427170180187E-4</v>
      </c>
      <c r="AG48" s="217">
        <f t="shared" si="78"/>
        <v>-1.7590014402304399E-2</v>
      </c>
      <c r="AH48" s="217">
        <f t="shared" si="78"/>
        <v>-1.0669162377164264E-2</v>
      </c>
      <c r="AI48" s="217">
        <f t="shared" si="78"/>
        <v>1.7492869508617385E-2</v>
      </c>
      <c r="AJ48" s="217">
        <f t="shared" si="78"/>
        <v>3.5642087821044076E-2</v>
      </c>
      <c r="AK48" s="217">
        <f t="shared" si="78"/>
        <v>7.304015296367114E-2</v>
      </c>
      <c r="AL48" s="217">
        <f t="shared" si="78"/>
        <v>3.399778516057584E-2</v>
      </c>
      <c r="AM48" s="217">
        <f t="shared" si="78"/>
        <v>0.18999719022197256</v>
      </c>
      <c r="AN48" s="217">
        <f t="shared" si="78"/>
        <v>3.9827771797631827E-2</v>
      </c>
      <c r="AO48" s="217">
        <f t="shared" si="78"/>
        <v>-0.20106880427521726</v>
      </c>
      <c r="AP48" s="217">
        <f t="shared" si="78"/>
        <v>9.8006644518272526E-2</v>
      </c>
      <c r="AQ48" s="217">
        <f t="shared" si="78"/>
        <v>0.10646592709984153</v>
      </c>
      <c r="AR48" s="217">
        <f t="shared" si="78"/>
        <v>0.12100635527858333</v>
      </c>
      <c r="AS48" s="217">
        <f t="shared" si="78"/>
        <v>0.13336082838667868</v>
      </c>
      <c r="AT48" s="217">
        <f>AT39/AT26</f>
        <v>0.12927245302169529</v>
      </c>
      <c r="AU48" s="217">
        <f>AU37/AU26</f>
        <v>0.12284598518364738</v>
      </c>
      <c r="AV48" s="217">
        <f>AV39/AV26</f>
        <v>8.6946776319651642E-2</v>
      </c>
      <c r="AW48" s="217">
        <f>AW39/AW26</f>
        <v>8.924844761899875E-2</v>
      </c>
      <c r="BH48" s="217">
        <f t="shared" ref="BH48:CB48" si="79">BH39/BH26</f>
        <v>5.4809242342826444E-3</v>
      </c>
      <c r="BI48" s="217">
        <f t="shared" si="79"/>
        <v>5.8108621344474004E-2</v>
      </c>
      <c r="BJ48" s="217">
        <f t="shared" si="79"/>
        <v>1.3780707010185739E-2</v>
      </c>
      <c r="BK48" s="217">
        <f t="shared" si="79"/>
        <v>1.4654978646886939E-2</v>
      </c>
      <c r="BL48" s="217">
        <f t="shared" si="79"/>
        <v>8.851979254772073E-2</v>
      </c>
      <c r="BM48" s="217">
        <f t="shared" si="79"/>
        <v>-2.784023182943958E-2</v>
      </c>
      <c r="BN48" s="217">
        <f t="shared" si="79"/>
        <v>7.0680453189582056E-3</v>
      </c>
      <c r="BO48" s="217">
        <f t="shared" si="79"/>
        <v>-2.3632652723951171E-3</v>
      </c>
      <c r="BP48" s="217">
        <f t="shared" si="79"/>
        <v>8.5978536069228742E-2</v>
      </c>
      <c r="BQ48" s="217">
        <f t="shared" si="79"/>
        <v>1.1711032981751111E-2</v>
      </c>
      <c r="BR48" s="217">
        <f t="shared" si="79"/>
        <v>0.12658789668475026</v>
      </c>
      <c r="BS48" s="219">
        <f t="shared" si="79"/>
        <v>0.11865635649195996</v>
      </c>
      <c r="BT48" s="219">
        <f t="shared" si="79"/>
        <v>0.14227260727687957</v>
      </c>
      <c r="BU48" s="219">
        <f t="shared" si="79"/>
        <v>0.16384856415181073</v>
      </c>
      <c r="BV48" s="219">
        <f t="shared" si="79"/>
        <v>0.18517526311370586</v>
      </c>
      <c r="BW48" s="219">
        <f t="shared" si="79"/>
        <v>0.20649908066475062</v>
      </c>
      <c r="BX48" s="219">
        <f t="shared" si="79"/>
        <v>0.22348036716074168</v>
      </c>
      <c r="BY48" s="219">
        <f t="shared" si="79"/>
        <v>0.24043950439904149</v>
      </c>
      <c r="BZ48" s="219">
        <f t="shared" si="79"/>
        <v>0.2657370117258096</v>
      </c>
      <c r="CA48" s="219">
        <f t="shared" si="79"/>
        <v>0.29407382823762557</v>
      </c>
      <c r="CB48" s="219">
        <f t="shared" si="79"/>
        <v>0.32508519113266532</v>
      </c>
    </row>
    <row r="49" spans="3:120" ht="13.5" customHeight="1">
      <c r="AR49" s="204"/>
      <c r="AS49" s="204"/>
      <c r="AT49" s="210"/>
      <c r="AU49" s="204"/>
    </row>
    <row r="50" spans="3:120" ht="13.5" customHeight="1">
      <c r="C50" s="204" t="s">
        <v>297</v>
      </c>
      <c r="T50" s="223">
        <v>95.605999999999995</v>
      </c>
      <c r="U50" s="223">
        <v>77.260999999999996</v>
      </c>
      <c r="V50" s="223">
        <v>111.581</v>
      </c>
      <c r="W50" s="223">
        <v>72.778999999999996</v>
      </c>
      <c r="X50" s="223">
        <v>72.456000000000003</v>
      </c>
      <c r="Y50" s="223">
        <v>134.381</v>
      </c>
      <c r="Z50" s="204">
        <v>80.114999999999995</v>
      </c>
      <c r="AA50" s="223">
        <v>69.67</v>
      </c>
      <c r="AB50" s="223">
        <v>55.631999999999998</v>
      </c>
      <c r="AC50" s="223">
        <v>82.277000000000001</v>
      </c>
      <c r="AD50" s="204">
        <v>66.290000000000006</v>
      </c>
      <c r="AE50" s="223">
        <v>59.378999999999998</v>
      </c>
      <c r="AF50" s="223">
        <v>68.162999999999997</v>
      </c>
      <c r="AG50" s="223">
        <v>58.234000000000002</v>
      </c>
      <c r="AH50" s="223">
        <v>54.844000000000001</v>
      </c>
      <c r="AI50" s="223">
        <v>69.858000000000004</v>
      </c>
      <c r="AJ50" s="223">
        <v>94.688000000000002</v>
      </c>
      <c r="AK50" s="223">
        <v>114.167</v>
      </c>
      <c r="AL50" s="223">
        <v>100.75700000000001</v>
      </c>
      <c r="AM50" s="223">
        <v>167.48599999999999</v>
      </c>
      <c r="AN50" s="223">
        <v>223.114</v>
      </c>
      <c r="AO50" s="223">
        <v>288.33199999999999</v>
      </c>
      <c r="AP50" s="223">
        <v>280.476</v>
      </c>
      <c r="AQ50" s="223">
        <v>324.39999999999998</v>
      </c>
      <c r="AR50" s="223">
        <v>376.05399999999997</v>
      </c>
      <c r="AS50" s="223">
        <v>421.76799999999997</v>
      </c>
      <c r="AT50" s="223">
        <v>321.029</v>
      </c>
      <c r="AU50" s="223">
        <v>186.89</v>
      </c>
      <c r="AV50" s="223">
        <v>241.28899999999999</v>
      </c>
      <c r="AW50" s="223">
        <v>205.27099999999999</v>
      </c>
      <c r="BL50" s="223">
        <f t="shared" ref="BL50:BL61" si="80">W50</f>
        <v>72.778999999999996</v>
      </c>
      <c r="BM50" s="223">
        <f t="shared" ref="BM50:BM61" si="81">AA50</f>
        <v>69.67</v>
      </c>
      <c r="BN50" s="223">
        <f t="shared" ref="BN50:BN61" si="82">AE50</f>
        <v>59.378999999999998</v>
      </c>
      <c r="BO50" s="223">
        <f t="shared" ref="BO50:BO61" si="83">AI50</f>
        <v>69.858000000000004</v>
      </c>
      <c r="BP50" s="223">
        <f t="shared" ref="BP50:BP61" si="84">AM50</f>
        <v>167.48599999999999</v>
      </c>
      <c r="BQ50" s="223">
        <f t="shared" ref="BQ50:BQ61" si="85">AQ50</f>
        <v>324.39999999999998</v>
      </c>
      <c r="BR50" s="223">
        <v>186.89</v>
      </c>
      <c r="BS50" s="225">
        <f t="shared" ref="BS50:CB50" si="86">BR50+BS39</f>
        <v>379.5948251832001</v>
      </c>
      <c r="BT50" s="225">
        <f t="shared" si="86"/>
        <v>642.49438499951714</v>
      </c>
      <c r="BU50" s="225">
        <f t="shared" si="86"/>
        <v>983.78042577617907</v>
      </c>
      <c r="BV50" s="225">
        <f t="shared" si="86"/>
        <v>1411.8086679242788</v>
      </c>
      <c r="BW50" s="225">
        <f t="shared" si="86"/>
        <v>1936.4979882943439</v>
      </c>
      <c r="BX50" s="225">
        <f t="shared" si="86"/>
        <v>2555.5930920081146</v>
      </c>
      <c r="BY50" s="225">
        <f t="shared" si="86"/>
        <v>3274.1340448004803</v>
      </c>
      <c r="BZ50" s="225">
        <f t="shared" si="86"/>
        <v>4121.3917632958073</v>
      </c>
      <c r="CA50" s="225">
        <f t="shared" si="86"/>
        <v>5117.5034812090425</v>
      </c>
      <c r="CB50" s="225">
        <f t="shared" si="86"/>
        <v>6282.4199191511079</v>
      </c>
    </row>
    <row r="51" spans="3:120" ht="13.5" customHeight="1">
      <c r="C51" s="204" t="s">
        <v>298</v>
      </c>
      <c r="T51" s="223">
        <v>99.241</v>
      </c>
      <c r="U51" s="223">
        <v>109.996</v>
      </c>
      <c r="V51" s="223">
        <v>82.864000000000004</v>
      </c>
      <c r="W51" s="223">
        <v>116.61</v>
      </c>
      <c r="X51" s="223">
        <v>95.766000000000005</v>
      </c>
      <c r="Y51" s="223">
        <v>143.91399999999999</v>
      </c>
      <c r="Z51" s="204">
        <v>188.61099999999999</v>
      </c>
      <c r="AA51" s="223">
        <v>195.16200000000001</v>
      </c>
      <c r="AB51" s="223">
        <v>186.977</v>
      </c>
      <c r="AC51" s="223">
        <v>156.72200000000001</v>
      </c>
      <c r="AD51" s="204">
        <v>200.637</v>
      </c>
      <c r="AE51" s="223">
        <v>195.49600000000001</v>
      </c>
      <c r="AF51" s="223">
        <v>172.178</v>
      </c>
      <c r="AG51" s="223">
        <v>146.13499999999999</v>
      </c>
      <c r="AH51" s="223">
        <v>129.583</v>
      </c>
      <c r="AI51" s="223">
        <v>118.172</v>
      </c>
      <c r="AJ51" s="223">
        <v>104.40900000000001</v>
      </c>
      <c r="AK51" s="223">
        <v>106.896</v>
      </c>
      <c r="AL51" s="223">
        <v>148.09800000000001</v>
      </c>
      <c r="AM51" s="223">
        <v>121.70099999999999</v>
      </c>
      <c r="AN51" s="223">
        <v>90.36</v>
      </c>
      <c r="AO51" s="223">
        <v>51.363</v>
      </c>
      <c r="AP51" s="223">
        <v>10.548</v>
      </c>
      <c r="AQ51" s="223">
        <v>15.727</v>
      </c>
      <c r="AR51" s="223">
        <v>2.794</v>
      </c>
      <c r="AS51" s="223">
        <v>2.7949999999999999</v>
      </c>
      <c r="AT51" s="223">
        <v>149.267</v>
      </c>
      <c r="AU51" s="223">
        <v>357.91899999999998</v>
      </c>
      <c r="AV51" s="223">
        <v>374.37099999999998</v>
      </c>
      <c r="AW51" s="223">
        <v>453.524</v>
      </c>
      <c r="BL51" s="223">
        <f t="shared" si="80"/>
        <v>116.61</v>
      </c>
      <c r="BM51" s="223">
        <f t="shared" si="81"/>
        <v>195.16200000000001</v>
      </c>
      <c r="BN51" s="223">
        <f t="shared" si="82"/>
        <v>195.49600000000001</v>
      </c>
      <c r="BO51" s="223">
        <f t="shared" si="83"/>
        <v>118.172</v>
      </c>
      <c r="BP51" s="223">
        <f t="shared" si="84"/>
        <v>121.70099999999999</v>
      </c>
      <c r="BQ51" s="223">
        <f t="shared" si="85"/>
        <v>15.727</v>
      </c>
      <c r="BR51" s="223">
        <v>357.91899999999998</v>
      </c>
    </row>
    <row r="52" spans="3:120" ht="13.5" customHeight="1">
      <c r="C52" s="204" t="s">
        <v>299</v>
      </c>
      <c r="T52" s="223">
        <v>94.679000000000002</v>
      </c>
      <c r="U52" s="223">
        <v>99.010999999999996</v>
      </c>
      <c r="V52" s="223">
        <v>101.828</v>
      </c>
      <c r="W52" s="223">
        <v>105.901</v>
      </c>
      <c r="X52" s="223">
        <v>103.96299999999999</v>
      </c>
      <c r="Y52" s="223">
        <v>97.613</v>
      </c>
      <c r="Z52" s="204">
        <v>112.81699999999999</v>
      </c>
      <c r="AA52" s="223">
        <v>114.608</v>
      </c>
      <c r="AB52" s="223">
        <v>126.41500000000001</v>
      </c>
      <c r="AC52" s="223">
        <v>136.61000000000001</v>
      </c>
      <c r="AD52" s="204">
        <v>120.074</v>
      </c>
      <c r="AE52" s="223">
        <v>133.94</v>
      </c>
      <c r="AF52" s="223">
        <v>143.417</v>
      </c>
      <c r="AG52" s="223">
        <v>187.38900000000001</v>
      </c>
      <c r="AH52" s="223">
        <v>189.006</v>
      </c>
      <c r="AI52" s="223">
        <v>203.38399999999999</v>
      </c>
      <c r="AJ52" s="223">
        <v>207.364</v>
      </c>
      <c r="AK52" s="223">
        <v>208.965</v>
      </c>
      <c r="AL52" s="223">
        <v>206.61500000000001</v>
      </c>
      <c r="AM52" s="223">
        <v>201.768</v>
      </c>
      <c r="AN52" s="223">
        <v>191.989</v>
      </c>
      <c r="AO52" s="223">
        <v>200.83099999999999</v>
      </c>
      <c r="AP52" s="223">
        <v>176.05099999999999</v>
      </c>
      <c r="AQ52" s="223">
        <v>167.667</v>
      </c>
      <c r="AR52" s="223">
        <v>167.98099999999999</v>
      </c>
      <c r="AS52" s="223">
        <v>175.536</v>
      </c>
      <c r="AT52" s="223">
        <v>183.43</v>
      </c>
      <c r="AU52" s="223">
        <v>190.02</v>
      </c>
      <c r="AV52" s="223">
        <v>183.29499999999999</v>
      </c>
      <c r="AW52" s="223">
        <v>190.40700000000001</v>
      </c>
      <c r="BL52" s="223">
        <f t="shared" si="80"/>
        <v>105.901</v>
      </c>
      <c r="BM52" s="223">
        <f t="shared" si="81"/>
        <v>114.608</v>
      </c>
      <c r="BN52" s="223">
        <f t="shared" si="82"/>
        <v>133.94</v>
      </c>
      <c r="BO52" s="223">
        <f t="shared" si="83"/>
        <v>203.38399999999999</v>
      </c>
      <c r="BP52" s="223">
        <f t="shared" si="84"/>
        <v>201.768</v>
      </c>
      <c r="BQ52" s="223">
        <f t="shared" si="85"/>
        <v>167.667</v>
      </c>
      <c r="BR52" s="223">
        <v>190.02</v>
      </c>
      <c r="BT52" s="229"/>
      <c r="BW52" s="229"/>
      <c r="BY52" s="230"/>
      <c r="BZ52" s="230"/>
      <c r="CA52" s="231"/>
      <c r="CB52" s="232"/>
    </row>
    <row r="53" spans="3:120" ht="13.5" customHeight="1">
      <c r="C53" s="204" t="s">
        <v>300</v>
      </c>
      <c r="T53" s="223">
        <v>121.691</v>
      </c>
      <c r="U53" s="223">
        <v>132.73500000000001</v>
      </c>
      <c r="V53" s="223">
        <v>140.35900000000001</v>
      </c>
      <c r="W53" s="223">
        <v>152.99199999999999</v>
      </c>
      <c r="X53" s="223">
        <v>166.15199999999999</v>
      </c>
      <c r="Y53" s="223">
        <v>183.44200000000001</v>
      </c>
      <c r="Z53" s="204">
        <v>191.547</v>
      </c>
      <c r="AA53" s="223">
        <v>219.52699999999999</v>
      </c>
      <c r="AB53" s="223">
        <v>245.321</v>
      </c>
      <c r="AC53" s="223">
        <v>254.977</v>
      </c>
      <c r="AD53" s="204">
        <v>258.31599999999997</v>
      </c>
      <c r="AE53" s="223">
        <v>263.50400000000002</v>
      </c>
      <c r="AF53" s="223">
        <v>274.34899999999999</v>
      </c>
      <c r="AG53" s="223">
        <v>295.88299999999998</v>
      </c>
      <c r="AH53" s="223">
        <v>320.30399999999997</v>
      </c>
      <c r="AI53" s="223">
        <v>334.00599999999997</v>
      </c>
      <c r="AJ53" s="223">
        <v>344.04199999999997</v>
      </c>
      <c r="AK53" s="223">
        <v>358.77</v>
      </c>
      <c r="AL53" s="223">
        <v>374.245</v>
      </c>
      <c r="AM53" s="223">
        <v>388.02300000000002</v>
      </c>
      <c r="AN53" s="204">
        <v>398.36599999999999</v>
      </c>
      <c r="AO53" s="223">
        <v>373.79899999999998</v>
      </c>
      <c r="AP53" s="223">
        <v>393.41300000000001</v>
      </c>
      <c r="AQ53" s="223">
        <v>406.73700000000002</v>
      </c>
      <c r="AR53" s="223">
        <v>415.863</v>
      </c>
      <c r="AS53" s="223">
        <v>427.62799999999999</v>
      </c>
      <c r="AT53" s="223">
        <v>432.36500000000001</v>
      </c>
      <c r="AU53" s="223">
        <v>431.54899999999998</v>
      </c>
      <c r="AV53" s="223">
        <v>438.53899999999999</v>
      </c>
      <c r="AW53" s="223">
        <v>442.65</v>
      </c>
      <c r="BL53" s="223">
        <f t="shared" si="80"/>
        <v>152.99199999999999</v>
      </c>
      <c r="BM53" s="223">
        <f t="shared" si="81"/>
        <v>219.52699999999999</v>
      </c>
      <c r="BN53" s="223">
        <f t="shared" si="82"/>
        <v>263.50400000000002</v>
      </c>
      <c r="BO53" s="223">
        <f t="shared" si="83"/>
        <v>334.00599999999997</v>
      </c>
      <c r="BP53" s="223">
        <f t="shared" si="84"/>
        <v>388.02300000000002</v>
      </c>
      <c r="BQ53" s="223">
        <f t="shared" si="85"/>
        <v>406.73700000000002</v>
      </c>
      <c r="BR53" s="223">
        <v>431.54899999999998</v>
      </c>
      <c r="BT53" s="244" t="s">
        <v>1575</v>
      </c>
      <c r="BU53" s="149"/>
      <c r="BV53" s="149"/>
      <c r="BW53" s="245" t="s">
        <v>2580</v>
      </c>
      <c r="BX53" s="246"/>
      <c r="BY53" s="229" t="s">
        <v>1576</v>
      </c>
      <c r="BZ53" s="246"/>
      <c r="CA53" s="231" t="s">
        <v>505</v>
      </c>
      <c r="CB53" s="232">
        <v>0.155</v>
      </c>
      <c r="CR53" s="210"/>
    </row>
    <row r="54" spans="3:120" ht="13.5" customHeight="1">
      <c r="C54" s="204" t="s">
        <v>301</v>
      </c>
      <c r="T54" s="223">
        <v>11.869</v>
      </c>
      <c r="U54" s="223">
        <v>15.601000000000001</v>
      </c>
      <c r="V54" s="223">
        <v>14.702</v>
      </c>
      <c r="W54" s="223">
        <v>14.852</v>
      </c>
      <c r="X54" s="223">
        <v>15.403</v>
      </c>
      <c r="Y54" s="223">
        <v>16.545000000000002</v>
      </c>
      <c r="Z54" s="204">
        <v>17.109000000000002</v>
      </c>
      <c r="AA54" s="223">
        <v>18.734999999999999</v>
      </c>
      <c r="AB54" s="223">
        <v>20.782</v>
      </c>
      <c r="AC54" s="223">
        <v>22.526</v>
      </c>
      <c r="AD54" s="204">
        <v>22.67</v>
      </c>
      <c r="AE54" s="223">
        <v>29.155000000000001</v>
      </c>
      <c r="AF54" s="223">
        <v>32.219000000000001</v>
      </c>
      <c r="AG54" s="223">
        <v>30.32</v>
      </c>
      <c r="AH54" s="223">
        <v>29.888000000000002</v>
      </c>
      <c r="AI54" s="223">
        <v>30.279</v>
      </c>
      <c r="AJ54" s="223">
        <v>35.987000000000002</v>
      </c>
      <c r="AK54" s="223">
        <v>39.078000000000003</v>
      </c>
      <c r="AL54" s="223">
        <v>38.761000000000003</v>
      </c>
      <c r="AM54" s="223">
        <v>36.423999999999999</v>
      </c>
      <c r="AN54" s="223">
        <v>31.193999999999999</v>
      </c>
      <c r="AO54" s="223">
        <v>29.47</v>
      </c>
      <c r="AP54" s="223">
        <v>31.265000000000001</v>
      </c>
      <c r="AQ54" s="223">
        <v>36.588999999999999</v>
      </c>
      <c r="AR54" s="223">
        <v>37.017000000000003</v>
      </c>
      <c r="AS54" s="223">
        <v>37.756999999999998</v>
      </c>
      <c r="AT54" s="223">
        <v>55.429000000000002</v>
      </c>
      <c r="AU54" s="223">
        <v>50.298000000000002</v>
      </c>
      <c r="AV54" s="223">
        <v>37.911999999999999</v>
      </c>
      <c r="AW54" s="223">
        <v>52.27</v>
      </c>
      <c r="BL54" s="223">
        <f t="shared" si="80"/>
        <v>14.852</v>
      </c>
      <c r="BM54" s="223">
        <f t="shared" si="81"/>
        <v>18.734999999999999</v>
      </c>
      <c r="BN54" s="223">
        <f t="shared" si="82"/>
        <v>29.155000000000001</v>
      </c>
      <c r="BO54" s="223">
        <f t="shared" si="83"/>
        <v>30.279</v>
      </c>
      <c r="BP54" s="223">
        <f t="shared" si="84"/>
        <v>36.423999999999999</v>
      </c>
      <c r="BQ54" s="223">
        <f t="shared" si="85"/>
        <v>36.588999999999999</v>
      </c>
      <c r="BR54" s="223">
        <v>50.298000000000002</v>
      </c>
      <c r="BT54" s="246">
        <v>2024</v>
      </c>
      <c r="BU54" s="246">
        <v>2025</v>
      </c>
      <c r="BV54" s="149"/>
      <c r="BW54" s="245" t="s">
        <v>2586</v>
      </c>
      <c r="BX54" s="246"/>
      <c r="BY54" s="209">
        <v>2025</v>
      </c>
      <c r="BZ54" s="246"/>
      <c r="CA54" s="231" t="s">
        <v>610</v>
      </c>
      <c r="CB54" s="232">
        <v>2.35E-2</v>
      </c>
    </row>
    <row r="55" spans="3:120" ht="13.5" customHeight="1">
      <c r="C55" s="204" t="s">
        <v>302</v>
      </c>
      <c r="T55" s="223">
        <v>35.380000000000003</v>
      </c>
      <c r="U55" s="223">
        <v>37.94</v>
      </c>
      <c r="V55" s="223">
        <v>45.625</v>
      </c>
      <c r="W55" s="223">
        <v>51.811999999999998</v>
      </c>
      <c r="X55" s="223">
        <v>58.698</v>
      </c>
      <c r="Y55" s="223">
        <v>62.188000000000002</v>
      </c>
      <c r="Z55" s="204">
        <v>64.906000000000006</v>
      </c>
      <c r="AA55" s="223">
        <v>48.168999999999997</v>
      </c>
      <c r="AB55" s="223">
        <v>50.314</v>
      </c>
      <c r="AC55" s="223">
        <v>50.853999999999999</v>
      </c>
      <c r="AD55" s="204">
        <v>56.631999999999998</v>
      </c>
      <c r="AE55" s="223">
        <v>58.856000000000002</v>
      </c>
      <c r="AF55" s="223">
        <v>60.326999999999998</v>
      </c>
      <c r="AG55" s="223">
        <v>63.457999999999998</v>
      </c>
      <c r="AH55" s="223">
        <v>64.081999999999994</v>
      </c>
      <c r="AI55" s="223">
        <v>65.015000000000001</v>
      </c>
      <c r="AJ55" s="223">
        <v>65.224000000000004</v>
      </c>
      <c r="AK55" s="223">
        <v>65.957999999999998</v>
      </c>
      <c r="AL55" s="223">
        <v>65.632000000000005</v>
      </c>
      <c r="AM55" s="223">
        <v>72.691000000000003</v>
      </c>
      <c r="AN55" s="223">
        <v>75.744</v>
      </c>
      <c r="AO55" s="223">
        <v>57.709000000000003</v>
      </c>
      <c r="AP55" s="223">
        <v>59.918999999999997</v>
      </c>
      <c r="AQ55" s="223">
        <v>62.640999999999998</v>
      </c>
      <c r="AR55" s="223">
        <v>72.465000000000003</v>
      </c>
      <c r="AS55" s="223">
        <v>84.825000000000003</v>
      </c>
      <c r="AT55" s="223">
        <v>97.73</v>
      </c>
      <c r="AU55" s="223">
        <v>117.43600000000001</v>
      </c>
      <c r="AV55" s="223">
        <v>134.059</v>
      </c>
      <c r="AW55" s="223">
        <v>146.71799999999999</v>
      </c>
      <c r="BL55" s="223">
        <f t="shared" si="80"/>
        <v>51.811999999999998</v>
      </c>
      <c r="BM55" s="223">
        <f t="shared" si="81"/>
        <v>48.168999999999997</v>
      </c>
      <c r="BN55" s="223">
        <f t="shared" si="82"/>
        <v>58.856000000000002</v>
      </c>
      <c r="BO55" s="223">
        <f t="shared" si="83"/>
        <v>65.015000000000001</v>
      </c>
      <c r="BP55" s="223">
        <f t="shared" si="84"/>
        <v>72.691000000000003</v>
      </c>
      <c r="BQ55" s="223">
        <f t="shared" si="85"/>
        <v>62.640999999999998</v>
      </c>
      <c r="BR55" s="223">
        <v>117.43600000000001</v>
      </c>
      <c r="BT55" s="248">
        <f>SUM(BQ50:BQ53)-BQ64+BQ56+BQ58+BQ57</f>
        <v>1095.5229999999999</v>
      </c>
      <c r="BU55" s="248">
        <f>SUM(BR50:BR53)-BR64+BR56+BR58+BR57</f>
        <v>1337.3869999999997</v>
      </c>
      <c r="BV55" s="149"/>
      <c r="BW55" s="248">
        <f>AVERAGE(BT55:BT55)</f>
        <v>1095.5229999999999</v>
      </c>
      <c r="BX55" s="246"/>
      <c r="BY55" s="212">
        <f>AVERAGE(BS33)*(1-BS47)</f>
        <v>167.21302918320009</v>
      </c>
      <c r="BZ55" s="246"/>
      <c r="CA55" s="231" t="s">
        <v>583</v>
      </c>
      <c r="CB55" s="232">
        <f>'Bull Case (30%)'!BV64</f>
        <v>5.11E-2</v>
      </c>
    </row>
    <row r="56" spans="3:120" ht="13.5" customHeight="1">
      <c r="C56" s="204" t="s">
        <v>304</v>
      </c>
      <c r="T56" s="223">
        <v>42.375999999999998</v>
      </c>
      <c r="U56" s="223">
        <v>42.475999999999999</v>
      </c>
      <c r="V56" s="223">
        <v>41.817</v>
      </c>
      <c r="W56" s="223">
        <v>43.716999999999999</v>
      </c>
      <c r="X56" s="223">
        <v>43.167999999999999</v>
      </c>
      <c r="Y56" s="223">
        <v>42.668999999999997</v>
      </c>
      <c r="Z56" s="204">
        <v>41.777999999999999</v>
      </c>
      <c r="AA56" s="223">
        <v>41.192</v>
      </c>
      <c r="AB56" s="223">
        <v>40.691000000000003</v>
      </c>
      <c r="AC56" s="223">
        <v>92.790999999999997</v>
      </c>
      <c r="AD56" s="204">
        <v>133.55199999999999</v>
      </c>
      <c r="AE56" s="223">
        <v>131.95500000000001</v>
      </c>
      <c r="AF56" s="223">
        <v>176.892</v>
      </c>
      <c r="AG56" s="223">
        <v>177.423</v>
      </c>
      <c r="AH56" s="223">
        <v>174.684</v>
      </c>
      <c r="AI56" s="223">
        <v>192.636</v>
      </c>
      <c r="AJ56" s="223">
        <v>189.839</v>
      </c>
      <c r="AK56" s="223">
        <v>187.494</v>
      </c>
      <c r="AL56" s="223">
        <v>184.52</v>
      </c>
      <c r="AM56" s="223">
        <v>188.756</v>
      </c>
      <c r="AN56" s="223">
        <v>185.845</v>
      </c>
      <c r="AO56" s="223">
        <v>183.316</v>
      </c>
      <c r="AP56" s="223">
        <v>180.923</v>
      </c>
      <c r="AQ56" s="223">
        <v>177.78700000000001</v>
      </c>
      <c r="AR56" s="223">
        <v>175.33099999999999</v>
      </c>
      <c r="AS56" s="223">
        <v>174.059</v>
      </c>
      <c r="AT56" s="223">
        <v>170.715</v>
      </c>
      <c r="AU56" s="223">
        <v>173.58699999999999</v>
      </c>
      <c r="AV56" s="223">
        <v>170.273</v>
      </c>
      <c r="AW56" s="223">
        <v>167.19399999999999</v>
      </c>
      <c r="BL56" s="223">
        <f t="shared" si="80"/>
        <v>43.716999999999999</v>
      </c>
      <c r="BM56" s="223">
        <f t="shared" si="81"/>
        <v>41.192</v>
      </c>
      <c r="BN56" s="223">
        <f t="shared" si="82"/>
        <v>131.95500000000001</v>
      </c>
      <c r="BO56" s="223">
        <f t="shared" si="83"/>
        <v>192.636</v>
      </c>
      <c r="BP56" s="223">
        <f t="shared" si="84"/>
        <v>188.756</v>
      </c>
      <c r="BQ56" s="223">
        <f t="shared" si="85"/>
        <v>177.78700000000001</v>
      </c>
      <c r="BR56" s="223">
        <v>173.58699999999999</v>
      </c>
      <c r="BT56" s="149"/>
      <c r="BU56" s="246"/>
      <c r="BV56" s="246"/>
      <c r="BW56" s="246"/>
      <c r="BX56" s="246"/>
      <c r="BY56" s="220">
        <f>BY55/BW55</f>
        <v>0.1526330612713746</v>
      </c>
      <c r="BZ56" s="246"/>
      <c r="CA56" s="231" t="s">
        <v>650</v>
      </c>
      <c r="CB56" s="232">
        <f>10.25%-CB55</f>
        <v>5.1399999999999994E-2</v>
      </c>
    </row>
    <row r="57" spans="3:120" ht="13.5" customHeight="1">
      <c r="C57" s="204" t="s">
        <v>303</v>
      </c>
      <c r="U57" s="204">
        <v>0</v>
      </c>
      <c r="V57" s="204">
        <v>0</v>
      </c>
      <c r="W57" s="223">
        <v>39.923999999999999</v>
      </c>
      <c r="X57" s="223">
        <v>39.286999999999999</v>
      </c>
      <c r="Y57" s="223">
        <v>37.927</v>
      </c>
      <c r="Z57" s="204">
        <v>38.798000000000002</v>
      </c>
      <c r="AA57" s="223">
        <v>38.064999999999998</v>
      </c>
      <c r="AB57" s="223">
        <v>37.697000000000003</v>
      </c>
      <c r="AC57" s="223">
        <v>37.030999999999999</v>
      </c>
      <c r="AD57" s="204">
        <v>36.844999999999999</v>
      </c>
      <c r="AE57" s="223">
        <v>36.276000000000003</v>
      </c>
      <c r="AF57" s="223">
        <v>35.549999999999997</v>
      </c>
      <c r="AG57" s="223">
        <v>34.743000000000002</v>
      </c>
      <c r="AH57" s="223">
        <v>34.113999999999997</v>
      </c>
      <c r="AI57" s="223">
        <v>33.323</v>
      </c>
      <c r="AJ57" s="223">
        <v>32.569000000000003</v>
      </c>
      <c r="AK57" s="223">
        <v>31.751000000000001</v>
      </c>
      <c r="AL57" s="223">
        <v>31.364000000000001</v>
      </c>
      <c r="AM57" s="223">
        <v>31.091999999999999</v>
      </c>
      <c r="AN57" s="223">
        <v>30.234000000000002</v>
      </c>
      <c r="AO57" s="223">
        <v>29.366</v>
      </c>
      <c r="AP57" s="223">
        <v>28.888000000000002</v>
      </c>
      <c r="AQ57" s="223">
        <v>28.018000000000001</v>
      </c>
      <c r="AR57" s="223">
        <v>27.126000000000001</v>
      </c>
      <c r="AS57" s="223">
        <v>27.606000000000002</v>
      </c>
      <c r="AT57" s="223">
        <v>26.79</v>
      </c>
      <c r="AU57" s="223">
        <v>25.972000000000001</v>
      </c>
      <c r="AV57" s="223">
        <v>25.209</v>
      </c>
      <c r="AW57" s="223">
        <v>24.356999999999999</v>
      </c>
      <c r="BL57" s="223">
        <f t="shared" si="80"/>
        <v>39.923999999999999</v>
      </c>
      <c r="BM57" s="223">
        <f t="shared" si="81"/>
        <v>38.064999999999998</v>
      </c>
      <c r="BN57" s="223">
        <f t="shared" si="82"/>
        <v>36.276000000000003</v>
      </c>
      <c r="BO57" s="223">
        <f t="shared" si="83"/>
        <v>33.323</v>
      </c>
      <c r="BP57" s="223">
        <f t="shared" si="84"/>
        <v>31.091999999999999</v>
      </c>
      <c r="BQ57" s="223">
        <f t="shared" si="85"/>
        <v>28.018000000000001</v>
      </c>
      <c r="BR57" s="223">
        <v>25.972000000000001</v>
      </c>
      <c r="BT57" s="250" t="s">
        <v>2368</v>
      </c>
      <c r="BU57" s="246"/>
      <c r="BV57" s="246"/>
      <c r="BW57" s="149"/>
      <c r="BX57" s="246"/>
      <c r="BY57" s="246"/>
      <c r="BZ57" s="246"/>
      <c r="CA57" s="231" t="s">
        <v>548</v>
      </c>
      <c r="CB57" s="227">
        <f>'Notes | Analysis'!T240</f>
        <v>0.76850681198020476</v>
      </c>
    </row>
    <row r="58" spans="3:120" ht="13.5" customHeight="1">
      <c r="C58" s="204" t="s">
        <v>305</v>
      </c>
      <c r="T58" s="223">
        <v>26.812999999999999</v>
      </c>
      <c r="U58" s="223">
        <v>26.030999999999999</v>
      </c>
      <c r="V58" s="223">
        <v>25.494</v>
      </c>
      <c r="W58" s="223">
        <v>25.407</v>
      </c>
      <c r="X58" s="223">
        <v>25.024000000000001</v>
      </c>
      <c r="Y58" s="223">
        <v>10.645</v>
      </c>
      <c r="Z58" s="204">
        <v>10.64</v>
      </c>
      <c r="AA58" s="223">
        <v>10.638999999999999</v>
      </c>
      <c r="AB58" s="223">
        <v>10.097</v>
      </c>
      <c r="AC58" s="223">
        <v>9.8949999999999996</v>
      </c>
      <c r="AD58" s="204">
        <v>9.49</v>
      </c>
      <c r="AE58" s="223">
        <v>90.617999999999995</v>
      </c>
      <c r="AF58" s="223">
        <v>88.471999999999994</v>
      </c>
      <c r="AG58" s="223">
        <v>86.162000000000006</v>
      </c>
      <c r="AH58" s="223">
        <v>83.36</v>
      </c>
      <c r="AI58" s="223">
        <v>81.161000000000001</v>
      </c>
      <c r="AJ58" s="223">
        <v>78.668999999999997</v>
      </c>
      <c r="AK58" s="223">
        <v>76.116</v>
      </c>
      <c r="AL58" s="223">
        <v>73.451999999999998</v>
      </c>
      <c r="AM58" s="223">
        <v>71.055999999999997</v>
      </c>
      <c r="AN58" s="223">
        <v>68.421000000000006</v>
      </c>
      <c r="AO58" s="223">
        <v>6.9550000000000001</v>
      </c>
      <c r="AP58" s="223">
        <v>6.92</v>
      </c>
      <c r="AQ58" s="223">
        <v>6.5129999999999999</v>
      </c>
      <c r="AR58" s="223">
        <v>6.4690000000000003</v>
      </c>
      <c r="AS58" s="223">
        <v>6.5519999999999996</v>
      </c>
      <c r="AT58" s="223">
        <v>6.3680000000000003</v>
      </c>
      <c r="AU58" s="223">
        <v>6.1859999999999999</v>
      </c>
      <c r="AV58" s="223">
        <v>5.9459999999999997</v>
      </c>
      <c r="AW58" s="223">
        <v>5.742</v>
      </c>
      <c r="BL58" s="223">
        <f t="shared" si="80"/>
        <v>25.407</v>
      </c>
      <c r="BM58" s="223">
        <f t="shared" si="81"/>
        <v>10.638999999999999</v>
      </c>
      <c r="BN58" s="223">
        <f t="shared" si="82"/>
        <v>90.617999999999995</v>
      </c>
      <c r="BO58" s="223">
        <f t="shared" si="83"/>
        <v>81.161000000000001</v>
      </c>
      <c r="BP58" s="223">
        <f t="shared" si="84"/>
        <v>71.055999999999997</v>
      </c>
      <c r="BQ58" s="223">
        <f t="shared" si="85"/>
        <v>6.5129999999999999</v>
      </c>
      <c r="BR58" s="223">
        <v>6.1859999999999999</v>
      </c>
      <c r="BT58" s="252" t="s">
        <v>2369</v>
      </c>
      <c r="BU58" s="149"/>
      <c r="BV58" s="149"/>
      <c r="BW58" s="249">
        <f>'Main | Overview'!C5</f>
        <v>12569.423790000001</v>
      </c>
      <c r="BX58" s="246"/>
      <c r="BY58" s="149"/>
      <c r="BZ58" s="246"/>
      <c r="CA58" s="231" t="s">
        <v>611</v>
      </c>
      <c r="CB58" s="232">
        <f>+CB55+(CB56*CB57)</f>
        <v>9.0601250135782518E-2</v>
      </c>
    </row>
    <row r="59" spans="3:120" ht="13.5" customHeight="1">
      <c r="C59" s="204" t="s">
        <v>306</v>
      </c>
      <c r="T59" s="223">
        <v>7.6589999999999998</v>
      </c>
      <c r="U59" s="223">
        <v>7.7649999999999997</v>
      </c>
      <c r="V59" s="223">
        <v>7.452</v>
      </c>
      <c r="W59" s="223">
        <v>7.6559999999999997</v>
      </c>
      <c r="X59" s="223">
        <v>7.5090000000000003</v>
      </c>
      <c r="Y59" s="223">
        <v>7.665</v>
      </c>
      <c r="Z59" s="204">
        <v>8.0039999999999996</v>
      </c>
      <c r="AA59" s="223">
        <v>8.3719999999999999</v>
      </c>
      <c r="AB59" s="223">
        <v>8.0060000000000002</v>
      </c>
      <c r="AC59" s="223">
        <v>8.109</v>
      </c>
      <c r="AD59" s="204">
        <v>7.9109999999999996</v>
      </c>
      <c r="AE59" s="223">
        <v>166.38800000000001</v>
      </c>
      <c r="AF59" s="223">
        <v>166.232</v>
      </c>
      <c r="AG59" s="223">
        <v>165.779</v>
      </c>
      <c r="AH59" s="223">
        <v>165.42599999999999</v>
      </c>
      <c r="AI59" s="223">
        <v>166.04599999999999</v>
      </c>
      <c r="AJ59" s="223">
        <v>166.161</v>
      </c>
      <c r="AK59" s="223">
        <v>166.166</v>
      </c>
      <c r="AL59" s="223">
        <v>165.95400000000001</v>
      </c>
      <c r="AM59" s="223">
        <v>166.27</v>
      </c>
      <c r="AN59" s="223">
        <v>166.10300000000001</v>
      </c>
      <c r="AO59" s="223">
        <v>166.05</v>
      </c>
      <c r="AP59" s="223">
        <v>166.35499999999999</v>
      </c>
      <c r="AQ59" s="223">
        <v>165.82599999999999</v>
      </c>
      <c r="AR59" s="223">
        <v>166.12299999999999</v>
      </c>
      <c r="AS59" s="223">
        <v>166.75200000000001</v>
      </c>
      <c r="AT59" s="223">
        <v>166.74799999999999</v>
      </c>
      <c r="AU59" s="223">
        <v>166.75</v>
      </c>
      <c r="AV59" s="223">
        <v>166.589</v>
      </c>
      <c r="AW59" s="223">
        <v>166.523</v>
      </c>
      <c r="BL59" s="223">
        <f t="shared" si="80"/>
        <v>7.6559999999999997</v>
      </c>
      <c r="BM59" s="223">
        <f t="shared" si="81"/>
        <v>8.3719999999999999</v>
      </c>
      <c r="BN59" s="223">
        <f t="shared" si="82"/>
        <v>166.38800000000001</v>
      </c>
      <c r="BO59" s="223">
        <f t="shared" si="83"/>
        <v>166.04599999999999</v>
      </c>
      <c r="BP59" s="223">
        <f t="shared" si="84"/>
        <v>166.27</v>
      </c>
      <c r="BQ59" s="223">
        <f t="shared" si="85"/>
        <v>165.82599999999999</v>
      </c>
      <c r="BR59" s="223">
        <v>166.75</v>
      </c>
      <c r="BT59" s="252" t="s">
        <v>2370</v>
      </c>
      <c r="BU59" s="149"/>
      <c r="BV59" s="149"/>
      <c r="BW59" s="253">
        <f>'Main | Overview'!C7/('Main | Overview'!C7+BW58)</f>
        <v>0</v>
      </c>
      <c r="BX59" s="250"/>
      <c r="BY59" s="149"/>
      <c r="BZ59" s="246"/>
      <c r="CA59" s="231"/>
    </row>
    <row r="60" spans="3:120" ht="13.5" customHeight="1">
      <c r="C60" s="204" t="s">
        <v>584</v>
      </c>
      <c r="T60" s="223">
        <v>31.861999999999998</v>
      </c>
      <c r="U60" s="223">
        <v>34.661000000000001</v>
      </c>
      <c r="V60" s="223">
        <v>32.817999999999998</v>
      </c>
      <c r="W60" s="223">
        <v>31.305</v>
      </c>
      <c r="X60" s="223">
        <v>32.945</v>
      </c>
      <c r="Y60" s="223">
        <v>36.473999999999997</v>
      </c>
      <c r="Z60" s="204">
        <v>47.91</v>
      </c>
      <c r="AA60" s="223">
        <v>50.139000000000003</v>
      </c>
      <c r="AB60" s="223">
        <v>48.978000000000002</v>
      </c>
      <c r="AC60" s="223">
        <v>47.67</v>
      </c>
      <c r="AD60" s="204">
        <v>49.454000000000001</v>
      </c>
      <c r="AE60" s="223">
        <v>65.697999999999993</v>
      </c>
      <c r="AF60" s="223">
        <v>70.08</v>
      </c>
      <c r="AG60" s="223">
        <v>68.403999999999996</v>
      </c>
      <c r="AH60" s="223">
        <v>62.826999999999998</v>
      </c>
      <c r="AI60" s="223">
        <v>64.212999999999994</v>
      </c>
      <c r="AJ60" s="223">
        <v>65.173000000000002</v>
      </c>
      <c r="AK60" s="223">
        <v>66.671000000000006</v>
      </c>
      <c r="AL60" s="223">
        <v>64.236000000000004</v>
      </c>
      <c r="AM60" s="223">
        <v>85.158000000000001</v>
      </c>
      <c r="AN60" s="223">
        <v>84.661000000000001</v>
      </c>
      <c r="AO60" s="223">
        <v>108.852</v>
      </c>
      <c r="AP60" s="223">
        <v>105.851</v>
      </c>
      <c r="AQ60" s="223">
        <v>100.33199999999999</v>
      </c>
      <c r="AR60" s="223">
        <v>102.355</v>
      </c>
      <c r="AS60" s="223">
        <v>109.14100000000001</v>
      </c>
      <c r="AT60" s="223">
        <v>94.477999999999994</v>
      </c>
      <c r="AU60" s="223">
        <v>79.188000000000002</v>
      </c>
      <c r="AV60" s="223">
        <v>79.971999999999994</v>
      </c>
      <c r="AW60" s="223">
        <v>79.376000000000005</v>
      </c>
      <c r="BL60" s="223">
        <f t="shared" si="80"/>
        <v>31.305</v>
      </c>
      <c r="BM60" s="223">
        <f t="shared" si="81"/>
        <v>50.139000000000003</v>
      </c>
      <c r="BN60" s="223">
        <f t="shared" si="82"/>
        <v>65.697999999999993</v>
      </c>
      <c r="BO60" s="223">
        <f t="shared" si="83"/>
        <v>64.212999999999994</v>
      </c>
      <c r="BP60" s="223">
        <f t="shared" si="84"/>
        <v>85.158000000000001</v>
      </c>
      <c r="BQ60" s="223">
        <f t="shared" si="85"/>
        <v>100.33199999999999</v>
      </c>
      <c r="BR60" s="223">
        <v>79.188000000000002</v>
      </c>
      <c r="BT60" s="252" t="s">
        <v>2371</v>
      </c>
      <c r="BU60" s="149"/>
      <c r="BV60" s="149"/>
      <c r="BW60" s="253">
        <f>BW58/(BW58+'Main | Overview'!C7)</f>
        <v>1</v>
      </c>
      <c r="BX60" s="246"/>
      <c r="BY60" s="149"/>
      <c r="BZ60" s="246"/>
      <c r="CA60" s="231" t="s">
        <v>502</v>
      </c>
      <c r="CB60" s="225">
        <f>NPV(CB58,BS39:DP39)</f>
        <v>10307.7007994921</v>
      </c>
    </row>
    <row r="61" spans="3:120" ht="13.5" customHeight="1">
      <c r="C61" s="204" t="s">
        <v>307</v>
      </c>
      <c r="T61" s="223">
        <v>1.613</v>
      </c>
      <c r="U61" s="223">
        <v>1.6319999999999999</v>
      </c>
      <c r="V61" s="223">
        <v>9.6300000000000008</v>
      </c>
      <c r="W61" s="223">
        <v>2.9460000000000002</v>
      </c>
      <c r="X61" s="223">
        <v>3.8690000000000002</v>
      </c>
      <c r="Y61" s="223">
        <v>6.7370000000000001</v>
      </c>
      <c r="Z61" s="204">
        <v>8.0690000000000008</v>
      </c>
      <c r="AA61" s="223">
        <v>8.7050000000000001</v>
      </c>
      <c r="AB61" s="223">
        <v>9.9139999999999997</v>
      </c>
      <c r="AC61" s="223">
        <v>10.756</v>
      </c>
      <c r="AD61" s="204">
        <v>11.37</v>
      </c>
      <c r="AE61" s="223">
        <v>12.984999999999999</v>
      </c>
      <c r="AF61" s="223">
        <v>13.694000000000001</v>
      </c>
      <c r="AG61" s="223">
        <v>13.97</v>
      </c>
      <c r="AH61" s="223">
        <v>13.483000000000001</v>
      </c>
      <c r="AI61" s="223">
        <v>12.792999999999999</v>
      </c>
      <c r="AJ61" s="223">
        <v>11.173</v>
      </c>
      <c r="AK61" s="223">
        <v>10.5</v>
      </c>
      <c r="AL61" s="204">
        <v>14.743</v>
      </c>
      <c r="AM61" s="223">
        <v>25.88</v>
      </c>
      <c r="AN61" s="223">
        <v>33.814</v>
      </c>
      <c r="AO61" s="223">
        <v>38.518000000000001</v>
      </c>
      <c r="AP61" s="223">
        <v>38.514000000000003</v>
      </c>
      <c r="AQ61" s="223">
        <v>40.939</v>
      </c>
      <c r="AR61" s="223">
        <v>43.728999999999999</v>
      </c>
      <c r="AS61" s="223">
        <v>40.39</v>
      </c>
      <c r="AT61" s="223">
        <v>40.020000000000003</v>
      </c>
      <c r="AU61" s="223">
        <v>40.716000000000001</v>
      </c>
      <c r="AV61" s="223">
        <v>40.984000000000002</v>
      </c>
      <c r="AW61" s="223">
        <v>40.691000000000003</v>
      </c>
      <c r="BL61" s="223">
        <f t="shared" si="80"/>
        <v>2.9460000000000002</v>
      </c>
      <c r="BM61" s="223">
        <f t="shared" si="81"/>
        <v>8.7050000000000001</v>
      </c>
      <c r="BN61" s="223">
        <f t="shared" si="82"/>
        <v>12.984999999999999</v>
      </c>
      <c r="BO61" s="223">
        <f t="shared" si="83"/>
        <v>12.792999999999999</v>
      </c>
      <c r="BP61" s="223">
        <f t="shared" si="84"/>
        <v>25.88</v>
      </c>
      <c r="BQ61" s="223">
        <f t="shared" si="85"/>
        <v>40.939</v>
      </c>
      <c r="BR61" s="223">
        <v>40.716000000000001</v>
      </c>
      <c r="BT61" s="254" t="s">
        <v>2372</v>
      </c>
      <c r="BU61" s="255"/>
      <c r="BV61" s="255"/>
      <c r="BW61" s="256">
        <f>BW59/BW60</f>
        <v>0</v>
      </c>
      <c r="BX61" s="246"/>
      <c r="BY61" s="246"/>
      <c r="BZ61" s="246"/>
      <c r="CA61" s="231" t="s">
        <v>295</v>
      </c>
      <c r="CB61" s="225">
        <f>'Main | Overview'!C4</f>
        <v>39.389000000000003</v>
      </c>
      <c r="CC61" s="233"/>
    </row>
    <row r="62" spans="3:120" s="210" customFormat="1" ht="13.5" customHeight="1">
      <c r="C62" s="210" t="s">
        <v>308</v>
      </c>
      <c r="D62" s="213"/>
      <c r="E62" s="213"/>
      <c r="F62" s="213"/>
      <c r="G62" s="213"/>
      <c r="H62" s="213"/>
      <c r="I62" s="213"/>
      <c r="J62" s="213"/>
      <c r="K62" s="213"/>
      <c r="L62" s="213"/>
      <c r="M62" s="213"/>
      <c r="N62" s="213"/>
      <c r="O62" s="213"/>
      <c r="P62" s="213"/>
      <c r="Q62" s="213"/>
      <c r="R62" s="213"/>
      <c r="S62" s="213"/>
      <c r="T62" s="206">
        <f t="shared" ref="T62:AW62" si="87">SUM(T50:T61)</f>
        <v>568.78899999999999</v>
      </c>
      <c r="U62" s="206">
        <f>SUM(U50:U61)</f>
        <v>585.10899999999981</v>
      </c>
      <c r="V62" s="206">
        <f t="shared" si="87"/>
        <v>614.17000000000007</v>
      </c>
      <c r="W62" s="206">
        <f t="shared" si="87"/>
        <v>665.90099999999995</v>
      </c>
      <c r="X62" s="206">
        <f t="shared" si="87"/>
        <v>664.24000000000012</v>
      </c>
      <c r="Y62" s="206">
        <f t="shared" si="87"/>
        <v>780.19999999999982</v>
      </c>
      <c r="Z62" s="206">
        <f t="shared" si="87"/>
        <v>810.30399999999997</v>
      </c>
      <c r="AA62" s="206">
        <f t="shared" si="87"/>
        <v>822.98299999999995</v>
      </c>
      <c r="AB62" s="206">
        <f t="shared" si="87"/>
        <v>840.82399999999996</v>
      </c>
      <c r="AC62" s="206">
        <f t="shared" si="87"/>
        <v>910.21799999999996</v>
      </c>
      <c r="AD62" s="206">
        <f t="shared" si="87"/>
        <v>973.24099999999987</v>
      </c>
      <c r="AE62" s="206">
        <f t="shared" si="87"/>
        <v>1244.2499999999998</v>
      </c>
      <c r="AF62" s="206">
        <f t="shared" si="87"/>
        <v>1301.5729999999999</v>
      </c>
      <c r="AG62" s="206">
        <f t="shared" si="87"/>
        <v>1327.9</v>
      </c>
      <c r="AH62" s="206">
        <f t="shared" si="87"/>
        <v>1321.6009999999999</v>
      </c>
      <c r="AI62" s="206">
        <f t="shared" si="87"/>
        <v>1370.886</v>
      </c>
      <c r="AJ62" s="206">
        <f t="shared" si="87"/>
        <v>1395.298</v>
      </c>
      <c r="AK62" s="206">
        <f t="shared" si="87"/>
        <v>1432.5319999999999</v>
      </c>
      <c r="AL62" s="206">
        <f t="shared" si="87"/>
        <v>1468.377</v>
      </c>
      <c r="AM62" s="206">
        <f t="shared" si="87"/>
        <v>1556.3050000000003</v>
      </c>
      <c r="AN62" s="206">
        <f t="shared" si="87"/>
        <v>1579.845</v>
      </c>
      <c r="AO62" s="206">
        <f t="shared" si="87"/>
        <v>1534.5609999999999</v>
      </c>
      <c r="AP62" s="206">
        <f t="shared" si="87"/>
        <v>1479.1229999999998</v>
      </c>
      <c r="AQ62" s="206">
        <f t="shared" si="87"/>
        <v>1533.1759999999997</v>
      </c>
      <c r="AR62" s="206">
        <f t="shared" si="87"/>
        <v>1593.307</v>
      </c>
      <c r="AS62" s="206">
        <f t="shared" si="87"/>
        <v>1674.809</v>
      </c>
      <c r="AT62" s="206">
        <f t="shared" si="87"/>
        <v>1744.3689999999999</v>
      </c>
      <c r="AU62" s="206">
        <f t="shared" si="87"/>
        <v>1826.5109999999997</v>
      </c>
      <c r="AV62" s="206">
        <f t="shared" si="87"/>
        <v>1898.4379999999996</v>
      </c>
      <c r="AW62" s="206">
        <f t="shared" si="87"/>
        <v>1974.7229999999997</v>
      </c>
      <c r="AX62" s="208"/>
      <c r="AY62" s="208"/>
      <c r="AZ62" s="208"/>
      <c r="BA62" s="208"/>
      <c r="BB62" s="208"/>
      <c r="BC62" s="208"/>
      <c r="BL62" s="206">
        <f t="shared" ref="BL62:BR62" si="88">SUM(BL50:BL61)</f>
        <v>665.90099999999995</v>
      </c>
      <c r="BM62" s="206">
        <f t="shared" si="88"/>
        <v>822.98299999999995</v>
      </c>
      <c r="BN62" s="206">
        <f t="shared" si="88"/>
        <v>1244.2499999999998</v>
      </c>
      <c r="BO62" s="206">
        <f t="shared" si="88"/>
        <v>1370.886</v>
      </c>
      <c r="BP62" s="206">
        <f t="shared" si="88"/>
        <v>1556.3050000000003</v>
      </c>
      <c r="BQ62" s="206">
        <f t="shared" si="88"/>
        <v>1533.1759999999997</v>
      </c>
      <c r="BR62" s="206">
        <f t="shared" si="88"/>
        <v>1826.5109999999997</v>
      </c>
      <c r="BS62" s="209"/>
      <c r="BT62" s="149"/>
      <c r="BU62" s="149"/>
      <c r="BV62" s="149"/>
      <c r="BW62" s="149"/>
      <c r="BX62" s="246"/>
      <c r="BY62" s="246"/>
      <c r="BZ62" s="246"/>
      <c r="CA62" s="231" t="s">
        <v>503</v>
      </c>
      <c r="CB62" s="227">
        <f>CB60/CB61</f>
        <v>261.6898321737566</v>
      </c>
      <c r="CC62" s="234"/>
      <c r="CE62" s="209"/>
      <c r="CR62" s="209"/>
      <c r="CS62" s="208"/>
      <c r="CT62" s="208"/>
      <c r="CU62" s="208"/>
      <c r="CV62" s="208"/>
      <c r="CW62" s="208"/>
      <c r="CX62" s="208"/>
      <c r="CY62" s="208"/>
      <c r="CZ62" s="208"/>
      <c r="DA62" s="208"/>
      <c r="DB62" s="208"/>
      <c r="DC62" s="208"/>
      <c r="DD62" s="208"/>
      <c r="DE62" s="208"/>
      <c r="DF62" s="208"/>
      <c r="DG62" s="208"/>
      <c r="DH62" s="208"/>
      <c r="DI62" s="208"/>
      <c r="DJ62" s="208"/>
      <c r="DK62" s="208"/>
      <c r="DL62" s="208"/>
      <c r="DM62" s="208"/>
      <c r="DN62" s="208"/>
      <c r="DO62" s="208"/>
      <c r="DP62" s="208"/>
    </row>
    <row r="63" spans="3:120" ht="13.5" customHeight="1">
      <c r="AR63" s="204"/>
      <c r="AS63" s="204"/>
      <c r="AT63" s="210"/>
      <c r="AU63" s="204"/>
      <c r="BM63" s="223"/>
      <c r="BN63" s="223"/>
      <c r="BO63" s="223"/>
      <c r="BP63" s="223"/>
      <c r="BQ63" s="223"/>
      <c r="BT63" s="255" t="s">
        <v>2373</v>
      </c>
      <c r="BU63" s="149"/>
      <c r="BV63" s="149"/>
      <c r="BW63" s="246"/>
      <c r="BX63" s="250"/>
      <c r="BY63" s="250"/>
      <c r="BZ63" s="250"/>
      <c r="CA63" s="231" t="s">
        <v>504</v>
      </c>
      <c r="CB63" s="227">
        <f>'Main | Overview'!C3</f>
        <v>319.11</v>
      </c>
      <c r="CC63" s="235"/>
      <c r="CR63" s="210"/>
    </row>
    <row r="64" spans="3:120" ht="13.5" customHeight="1">
      <c r="C64" s="204" t="s">
        <v>309</v>
      </c>
      <c r="T64" s="223">
        <v>7.6920000000000002</v>
      </c>
      <c r="U64" s="223">
        <v>8.7430000000000003</v>
      </c>
      <c r="V64" s="223">
        <v>11.962</v>
      </c>
      <c r="W64" s="223">
        <v>15.111000000000001</v>
      </c>
      <c r="X64" s="223">
        <v>15.843</v>
      </c>
      <c r="Y64" s="223">
        <v>14.432</v>
      </c>
      <c r="Z64" s="223">
        <v>14.544</v>
      </c>
      <c r="AA64" s="223">
        <v>14.109</v>
      </c>
      <c r="AB64" s="223">
        <v>15.388999999999999</v>
      </c>
      <c r="AC64" s="223">
        <v>13.712</v>
      </c>
      <c r="AD64" s="204">
        <v>13.679</v>
      </c>
      <c r="AE64" s="223">
        <v>13.420999999999999</v>
      </c>
      <c r="AF64" s="223">
        <v>14.137</v>
      </c>
      <c r="AG64" s="223">
        <v>23.096</v>
      </c>
      <c r="AH64" s="223">
        <v>25.364999999999998</v>
      </c>
      <c r="AI64" s="223">
        <v>26.678999999999998</v>
      </c>
      <c r="AJ64" s="223">
        <v>28.199000000000002</v>
      </c>
      <c r="AK64" s="223">
        <v>25.818999999999999</v>
      </c>
      <c r="AL64" s="223">
        <v>27.995999999999999</v>
      </c>
      <c r="AM64" s="223">
        <v>27.155000000000001</v>
      </c>
      <c r="AN64" s="223">
        <v>32.454500000000003</v>
      </c>
      <c r="AO64" s="223">
        <v>32.822000000000003</v>
      </c>
      <c r="AP64" s="223">
        <v>33.151000000000003</v>
      </c>
      <c r="AQ64" s="223">
        <v>31.326000000000001</v>
      </c>
      <c r="AR64" s="223">
        <v>31.152999999999999</v>
      </c>
      <c r="AS64" s="223">
        <v>28.120999999999999</v>
      </c>
      <c r="AT64" s="223">
        <v>29.821000000000002</v>
      </c>
      <c r="AU64" s="223">
        <v>34.735999999999997</v>
      </c>
      <c r="AV64" s="223">
        <v>43.658000000000001</v>
      </c>
      <c r="AW64" s="223">
        <v>44.728000000000002</v>
      </c>
      <c r="BL64" s="223">
        <f t="shared" ref="BL64:BL70" si="89">W64</f>
        <v>15.111000000000001</v>
      </c>
      <c r="BM64" s="223">
        <f t="shared" ref="BM64:BM70" si="90">AA64</f>
        <v>14.109</v>
      </c>
      <c r="BN64" s="223">
        <f t="shared" ref="BN64:BN70" si="91">AE64</f>
        <v>13.420999999999999</v>
      </c>
      <c r="BO64" s="223">
        <f t="shared" ref="BO64:BO70" si="92">AI64</f>
        <v>26.678999999999998</v>
      </c>
      <c r="BP64" s="223">
        <f t="shared" ref="BP64:BP70" si="93">AM64</f>
        <v>27.155000000000001</v>
      </c>
      <c r="BQ64" s="223">
        <f t="shared" ref="BQ64:BQ70" si="94">AQ64</f>
        <v>31.326000000000001</v>
      </c>
      <c r="BR64" s="223">
        <v>34.735999999999997</v>
      </c>
      <c r="BT64" s="257" t="s">
        <v>583</v>
      </c>
      <c r="BU64" s="149"/>
      <c r="BV64" s="149"/>
      <c r="BW64" s="253">
        <f>'Bull Case (30%)'!BV64</f>
        <v>5.11E-2</v>
      </c>
      <c r="BX64" s="246"/>
      <c r="BY64" s="246"/>
      <c r="BZ64" s="246"/>
      <c r="CA64" s="231" t="s">
        <v>1528</v>
      </c>
      <c r="CB64" s="232">
        <f>CB62/CB63-1</f>
        <v>-0.17993847834992138</v>
      </c>
      <c r="CC64" s="234" t="str">
        <f>IF(CB64&gt;0,"Upside","Downside")</f>
        <v>Downside</v>
      </c>
      <c r="CD64" s="225"/>
      <c r="DP64" s="204"/>
    </row>
    <row r="65" spans="3:120" ht="13.5" customHeight="1">
      <c r="C65" s="204" t="s">
        <v>310</v>
      </c>
      <c r="T65" s="223">
        <v>58.031999999999996</v>
      </c>
      <c r="U65" s="223">
        <v>57.276000000000003</v>
      </c>
      <c r="V65" s="223">
        <v>70.162999999999997</v>
      </c>
      <c r="W65" s="223">
        <v>67.63</v>
      </c>
      <c r="X65" s="223">
        <v>65.334999999999994</v>
      </c>
      <c r="Y65" s="223">
        <v>57.718000000000004</v>
      </c>
      <c r="Z65" s="223">
        <v>87.691000000000003</v>
      </c>
      <c r="AA65" s="223">
        <v>85.795000000000002</v>
      </c>
      <c r="AB65" s="223">
        <v>90.213999999999999</v>
      </c>
      <c r="AC65" s="223">
        <v>86.503</v>
      </c>
      <c r="AD65" s="204">
        <v>93.22</v>
      </c>
      <c r="AE65" s="223">
        <v>99.796000000000006</v>
      </c>
      <c r="AF65" s="223">
        <v>105.533</v>
      </c>
      <c r="AG65" s="223">
        <v>111.405</v>
      </c>
      <c r="AH65" s="223">
        <v>101.672</v>
      </c>
      <c r="AI65" s="223">
        <v>106.3</v>
      </c>
      <c r="AJ65" s="223">
        <v>105.869</v>
      </c>
      <c r="AK65" s="223">
        <v>105.60599999999999</v>
      </c>
      <c r="AL65" s="223">
        <v>104.184</v>
      </c>
      <c r="AM65" s="223">
        <v>110.55500000000001</v>
      </c>
      <c r="AN65" s="223">
        <v>106.54900000000001</v>
      </c>
      <c r="AO65" s="223">
        <v>104.071</v>
      </c>
      <c r="AP65" s="223">
        <v>105.55</v>
      </c>
      <c r="AQ65" s="223">
        <v>112.429</v>
      </c>
      <c r="AR65" s="223">
        <v>112.675</v>
      </c>
      <c r="AS65" s="223">
        <v>114.389</v>
      </c>
      <c r="AT65" s="223">
        <v>124.273</v>
      </c>
      <c r="AU65" s="223">
        <v>132.16300000000001</v>
      </c>
      <c r="AV65" s="223">
        <v>151.54300000000001</v>
      </c>
      <c r="AW65" s="223">
        <v>172.27</v>
      </c>
      <c r="BL65" s="223">
        <f t="shared" si="89"/>
        <v>67.63</v>
      </c>
      <c r="BM65" s="223">
        <f t="shared" si="90"/>
        <v>85.795000000000002</v>
      </c>
      <c r="BN65" s="223">
        <f t="shared" si="91"/>
        <v>99.796000000000006</v>
      </c>
      <c r="BO65" s="223">
        <f t="shared" si="92"/>
        <v>106.3</v>
      </c>
      <c r="BP65" s="223">
        <f t="shared" si="93"/>
        <v>110.55500000000001</v>
      </c>
      <c r="BQ65" s="223">
        <f t="shared" si="94"/>
        <v>112.429</v>
      </c>
      <c r="BR65" s="223">
        <v>132.16300000000001</v>
      </c>
      <c r="BS65" s="208"/>
      <c r="BT65" s="257" t="s">
        <v>548</v>
      </c>
      <c r="BU65" s="149"/>
      <c r="BV65" s="149"/>
      <c r="BW65" s="251">
        <f>'Notes | Analysis'!T240</f>
        <v>0.76850681198020476</v>
      </c>
      <c r="BX65" s="149"/>
      <c r="BY65" s="149"/>
      <c r="BZ65" s="149"/>
      <c r="CA65" s="282" t="str" cm="1">
        <f t="array" ref="CA65">_xlfn.IFS(CB64&gt;=25%,"Strong Buy",CB64&gt;=10.00001%,"Buy",AND(CB64&lt;=10%,CB64&gt;=-4.9999%),"Hold",AND(CB64&lt;=-5%,CB64&gt;=-14.999999%),"Sell",CB64&lt;=-15%,"Strong Sell")</f>
        <v>Strong Sell</v>
      </c>
      <c r="CB65" s="282"/>
      <c r="CC65" s="225"/>
      <c r="DP65" s="204"/>
    </row>
    <row r="66" spans="3:120" ht="13.5" customHeight="1">
      <c r="C66" s="204" t="s">
        <v>311</v>
      </c>
      <c r="T66" s="223">
        <v>3.6880000000000002</v>
      </c>
      <c r="U66" s="223">
        <v>3.742</v>
      </c>
      <c r="V66" s="223">
        <v>4.0419999999999998</v>
      </c>
      <c r="W66" s="223">
        <v>4.1420000000000003</v>
      </c>
      <c r="X66" s="223">
        <v>4.4349999999999996</v>
      </c>
      <c r="Y66" s="223">
        <v>4.4459999999999997</v>
      </c>
      <c r="Z66" s="223">
        <v>4.484</v>
      </c>
      <c r="AA66" s="223">
        <v>4.6970000000000001</v>
      </c>
      <c r="AB66" s="223">
        <v>4.8220000000000001</v>
      </c>
      <c r="AC66" s="223">
        <v>6.3470000000000004</v>
      </c>
      <c r="AD66" s="204">
        <v>7.5309999999999997</v>
      </c>
      <c r="AE66" s="223">
        <v>8.2669999999999995</v>
      </c>
      <c r="AF66" s="223">
        <v>8.66</v>
      </c>
      <c r="AG66" s="223">
        <v>9.2970000000000006</v>
      </c>
      <c r="AH66" s="223">
        <v>9.4169999999999998</v>
      </c>
      <c r="AI66" s="223">
        <v>10.032999999999999</v>
      </c>
      <c r="AJ66" s="223">
        <v>10.303000000000001</v>
      </c>
      <c r="AK66" s="223">
        <v>10.715</v>
      </c>
      <c r="AL66" s="223">
        <v>10.827</v>
      </c>
      <c r="AM66" s="223">
        <v>11.202999999999999</v>
      </c>
      <c r="AN66" s="223">
        <v>11.52</v>
      </c>
      <c r="AO66" s="223">
        <v>11.776</v>
      </c>
      <c r="AP66" s="223">
        <v>12.068</v>
      </c>
      <c r="AQ66" s="223">
        <v>12.221</v>
      </c>
      <c r="AR66" s="223">
        <v>12.51</v>
      </c>
      <c r="AS66" s="223">
        <v>12.855</v>
      </c>
      <c r="AT66" s="223">
        <v>13.086</v>
      </c>
      <c r="AU66" s="223">
        <v>13.840999999999999</v>
      </c>
      <c r="AV66" s="223">
        <v>14.144</v>
      </c>
      <c r="AW66" s="223">
        <v>14.398</v>
      </c>
      <c r="BL66" s="223">
        <f t="shared" si="89"/>
        <v>4.1420000000000003</v>
      </c>
      <c r="BM66" s="223">
        <f t="shared" si="90"/>
        <v>4.6970000000000001</v>
      </c>
      <c r="BN66" s="223">
        <f t="shared" si="91"/>
        <v>8.2669999999999995</v>
      </c>
      <c r="BO66" s="223">
        <f t="shared" si="92"/>
        <v>10.032999999999999</v>
      </c>
      <c r="BP66" s="223">
        <f t="shared" si="93"/>
        <v>11.202999999999999</v>
      </c>
      <c r="BQ66" s="223">
        <f t="shared" si="94"/>
        <v>12.221</v>
      </c>
      <c r="BR66" s="223">
        <v>13.840999999999999</v>
      </c>
      <c r="BT66" s="252" t="s">
        <v>2374</v>
      </c>
      <c r="BU66" s="149"/>
      <c r="BV66" s="149"/>
      <c r="BW66" s="253">
        <f>'Bull Case (30%)'!BV66</f>
        <v>0.18</v>
      </c>
      <c r="BX66" s="149"/>
      <c r="BY66" s="149"/>
      <c r="BZ66" s="149"/>
      <c r="CA66" s="149"/>
      <c r="CB66" s="149"/>
      <c r="CC66" s="149"/>
      <c r="DP66" s="204"/>
    </row>
    <row r="67" spans="3:120" ht="13.5" customHeight="1">
      <c r="C67" s="204" t="s">
        <v>312</v>
      </c>
      <c r="T67" s="223">
        <v>0</v>
      </c>
      <c r="U67" s="223">
        <v>0</v>
      </c>
      <c r="V67" s="223">
        <v>0</v>
      </c>
      <c r="W67" s="223">
        <v>4.165</v>
      </c>
      <c r="X67" s="223">
        <v>2.4609999999999999</v>
      </c>
      <c r="Y67" s="223">
        <v>1.016</v>
      </c>
      <c r="Z67" s="223">
        <v>1.3360000000000001</v>
      </c>
      <c r="AA67" s="223">
        <v>1.331</v>
      </c>
      <c r="AB67" s="223">
        <v>1.4370000000000001</v>
      </c>
      <c r="AC67" s="223">
        <v>1.484</v>
      </c>
      <c r="AD67" s="204">
        <v>1.627</v>
      </c>
      <c r="AE67" s="223">
        <v>1.7130000000000001</v>
      </c>
      <c r="AF67" s="223">
        <v>1.7689999999999999</v>
      </c>
      <c r="AG67" s="223">
        <v>1.806</v>
      </c>
      <c r="AH67" s="223">
        <v>1.8779999999999999</v>
      </c>
      <c r="AI67" s="223">
        <v>1.92</v>
      </c>
      <c r="AJ67" s="223">
        <v>1.9570000000000001</v>
      </c>
      <c r="AK67" s="223">
        <v>1.984</v>
      </c>
      <c r="AL67" s="223">
        <v>2.0710000000000002</v>
      </c>
      <c r="AM67" s="223">
        <v>2.2309999999999999</v>
      </c>
      <c r="AN67" s="223">
        <v>2.2799999999999998</v>
      </c>
      <c r="AO67" s="223">
        <v>2.3250000000000002</v>
      </c>
      <c r="AP67" s="223">
        <v>2.4159999999999999</v>
      </c>
      <c r="AQ67" s="223">
        <v>2.3690000000000002</v>
      </c>
      <c r="AR67" s="223">
        <v>2.2919999999999998</v>
      </c>
      <c r="AS67" s="223">
        <v>2.3959999999999999</v>
      </c>
      <c r="AT67" s="223">
        <v>2.423</v>
      </c>
      <c r="AU67" s="223">
        <v>2.3929999999999998</v>
      </c>
      <c r="AV67" s="223">
        <v>2.3860000000000001</v>
      </c>
      <c r="AW67" s="223">
        <v>2.38</v>
      </c>
      <c r="BL67" s="223">
        <f t="shared" si="89"/>
        <v>4.165</v>
      </c>
      <c r="BM67" s="223">
        <f t="shared" si="90"/>
        <v>1.331</v>
      </c>
      <c r="BN67" s="223">
        <f t="shared" si="91"/>
        <v>1.7130000000000001</v>
      </c>
      <c r="BO67" s="223">
        <f t="shared" si="92"/>
        <v>1.92</v>
      </c>
      <c r="BP67" s="223">
        <f t="shared" si="93"/>
        <v>2.2309999999999999</v>
      </c>
      <c r="BQ67" s="223">
        <f t="shared" si="94"/>
        <v>2.3690000000000002</v>
      </c>
      <c r="BR67" s="223">
        <v>2.3929999999999998</v>
      </c>
      <c r="BT67" s="254" t="s">
        <v>2375</v>
      </c>
      <c r="BU67" s="246"/>
      <c r="BV67" s="1"/>
      <c r="BW67" s="256">
        <f>(BW64+BW65)*(BW66-BW64)</f>
        <v>0.10564731806424839</v>
      </c>
      <c r="BX67" s="149"/>
      <c r="BY67" s="149"/>
      <c r="BZ67" s="149"/>
      <c r="CA67" s="149"/>
      <c r="CB67" s="149"/>
      <c r="CC67" s="149"/>
      <c r="DP67" s="204"/>
    </row>
    <row r="68" spans="3:120" ht="13.5" customHeight="1">
      <c r="C68" s="204" t="s">
        <v>313</v>
      </c>
      <c r="T68" s="223">
        <v>46.07</v>
      </c>
      <c r="U68" s="223">
        <v>46.146000000000001</v>
      </c>
      <c r="V68" s="223">
        <v>45.4</v>
      </c>
      <c r="W68" s="223">
        <v>47.241999999999997</v>
      </c>
      <c r="X68" s="223">
        <v>46.415999999999997</v>
      </c>
      <c r="Y68" s="223">
        <v>45.924999999999997</v>
      </c>
      <c r="Z68" s="223">
        <v>44.997999999999998</v>
      </c>
      <c r="AA68" s="223">
        <v>44.183</v>
      </c>
      <c r="AB68" s="223">
        <v>43.524999999999999</v>
      </c>
      <c r="AC68" s="223">
        <v>94.444000000000003</v>
      </c>
      <c r="AD68" s="204">
        <v>138.16900000000001</v>
      </c>
      <c r="AE68" s="223">
        <v>137.04499999999999</v>
      </c>
      <c r="AF68" s="223">
        <v>182.43799999999999</v>
      </c>
      <c r="AG68" s="223">
        <v>183.155</v>
      </c>
      <c r="AH68" s="223">
        <v>180.89699999999999</v>
      </c>
      <c r="AI68" s="223">
        <v>198.95500000000001</v>
      </c>
      <c r="AJ68" s="223">
        <v>196.83699999999999</v>
      </c>
      <c r="AK68" s="223">
        <v>194.655</v>
      </c>
      <c r="AL68" s="223">
        <v>192.11699999999999</v>
      </c>
      <c r="AM68" s="223">
        <v>197.22900000000001</v>
      </c>
      <c r="AN68" s="223">
        <v>194.53700000000001</v>
      </c>
      <c r="AO68" s="223">
        <v>192.21600000000001</v>
      </c>
      <c r="AP68" s="223">
        <v>189.96</v>
      </c>
      <c r="AQ68" s="223">
        <v>187.06800000000001</v>
      </c>
      <c r="AR68" s="223">
        <v>184.65199999999999</v>
      </c>
      <c r="AS68" s="223">
        <v>183.49299999999999</v>
      </c>
      <c r="AT68" s="223">
        <v>180.3</v>
      </c>
      <c r="AU68" s="223">
        <v>182.751</v>
      </c>
      <c r="AV68" s="223">
        <v>179.42400000000001</v>
      </c>
      <c r="AW68" s="223">
        <v>176.304</v>
      </c>
      <c r="BL68" s="223">
        <f t="shared" si="89"/>
        <v>47.241999999999997</v>
      </c>
      <c r="BM68" s="223">
        <f t="shared" si="90"/>
        <v>44.183</v>
      </c>
      <c r="BN68" s="223">
        <f t="shared" si="91"/>
        <v>137.04499999999999</v>
      </c>
      <c r="BO68" s="223">
        <f t="shared" si="92"/>
        <v>198.95500000000001</v>
      </c>
      <c r="BP68" s="223">
        <f t="shared" si="93"/>
        <v>197.22900000000001</v>
      </c>
      <c r="BQ68" s="223">
        <f t="shared" si="94"/>
        <v>187.06800000000001</v>
      </c>
      <c r="BR68" s="223">
        <v>182.751</v>
      </c>
      <c r="BT68" s="258"/>
      <c r="BU68" s="149"/>
      <c r="BV68" s="149"/>
      <c r="BW68" s="149"/>
      <c r="BX68" s="149"/>
      <c r="BY68" s="149"/>
      <c r="BZ68" s="149"/>
      <c r="CA68" s="149"/>
      <c r="CB68" s="149"/>
      <c r="CC68" s="149"/>
      <c r="DP68" s="204"/>
    </row>
    <row r="69" spans="3:120" ht="13.5" customHeight="1">
      <c r="C69" s="204" t="s">
        <v>314</v>
      </c>
      <c r="T69" s="223">
        <v>0</v>
      </c>
      <c r="U69" s="223">
        <v>0</v>
      </c>
      <c r="V69" s="204">
        <v>0</v>
      </c>
      <c r="W69" s="204">
        <v>26.748000000000001</v>
      </c>
      <c r="X69" s="223">
        <v>26.483000000000001</v>
      </c>
      <c r="Y69" s="223">
        <v>26.202000000000002</v>
      </c>
      <c r="Z69" s="223">
        <v>27.390999999999998</v>
      </c>
      <c r="AA69" s="223">
        <v>27.065999999999999</v>
      </c>
      <c r="AB69" s="223">
        <v>27</v>
      </c>
      <c r="AC69" s="223">
        <v>26.690999999999999</v>
      </c>
      <c r="AD69" s="204">
        <v>26.774999999999999</v>
      </c>
      <c r="AE69" s="223">
        <v>26.523</v>
      </c>
      <c r="AF69" s="223">
        <v>26.122</v>
      </c>
      <c r="AG69" s="223">
        <v>25.654</v>
      </c>
      <c r="AH69" s="223">
        <v>25.324999999999999</v>
      </c>
      <c r="AI69" s="223">
        <v>24.864999999999998</v>
      </c>
      <c r="AJ69" s="223">
        <v>24.422999999999998</v>
      </c>
      <c r="AK69" s="223">
        <v>23.922000000000001</v>
      </c>
      <c r="AL69" s="223">
        <v>23.779</v>
      </c>
      <c r="AM69" s="223">
        <v>23.68</v>
      </c>
      <c r="AN69" s="223">
        <v>23.097999999999999</v>
      </c>
      <c r="AO69" s="223">
        <v>22.501000000000001</v>
      </c>
      <c r="AP69" s="223">
        <v>22.245000000000001</v>
      </c>
      <c r="AQ69" s="223">
        <v>21.731000000000002</v>
      </c>
      <c r="AR69" s="223">
        <v>21.201000000000001</v>
      </c>
      <c r="AS69" s="223">
        <v>21.785</v>
      </c>
      <c r="AT69" s="223">
        <v>21.222999999999999</v>
      </c>
      <c r="AU69" s="223">
        <v>20.713999999999999</v>
      </c>
      <c r="AV69" s="223">
        <v>20.221</v>
      </c>
      <c r="AW69" s="223">
        <v>19.628</v>
      </c>
      <c r="BL69" s="223">
        <f t="shared" si="89"/>
        <v>26.748000000000001</v>
      </c>
      <c r="BM69" s="223">
        <f t="shared" si="90"/>
        <v>27.065999999999999</v>
      </c>
      <c r="BN69" s="223">
        <f t="shared" si="91"/>
        <v>26.523</v>
      </c>
      <c r="BO69" s="223">
        <f t="shared" si="92"/>
        <v>24.864999999999998</v>
      </c>
      <c r="BP69" s="223">
        <f t="shared" si="93"/>
        <v>23.68</v>
      </c>
      <c r="BQ69" s="223">
        <f t="shared" si="94"/>
        <v>21.731000000000002</v>
      </c>
      <c r="BR69" s="223">
        <v>20.713999999999999</v>
      </c>
      <c r="BS69" s="208"/>
      <c r="BT69" s="255" t="s">
        <v>2376</v>
      </c>
      <c r="BU69" s="259"/>
      <c r="BV69" s="149"/>
      <c r="BW69" s="260"/>
      <c r="BX69" s="149"/>
      <c r="BY69" s="149"/>
      <c r="BZ69" s="149"/>
      <c r="CA69" s="149"/>
      <c r="CB69" s="149"/>
      <c r="CC69" s="149"/>
      <c r="DP69" s="204"/>
    </row>
    <row r="70" spans="3:120" ht="13.5" customHeight="1">
      <c r="C70" s="204" t="s">
        <v>315</v>
      </c>
      <c r="T70" s="223">
        <v>16.643999999999998</v>
      </c>
      <c r="U70" s="223">
        <v>15.019</v>
      </c>
      <c r="V70" s="223">
        <v>15.662000000000001</v>
      </c>
      <c r="W70" s="223">
        <v>15.25</v>
      </c>
      <c r="X70" s="223">
        <v>15.15</v>
      </c>
      <c r="Y70" s="223">
        <v>7.3</v>
      </c>
      <c r="Z70" s="223">
        <v>10.147</v>
      </c>
      <c r="AA70" s="223">
        <v>8.0139999999999993</v>
      </c>
      <c r="AB70" s="223">
        <v>7.9660000000000002</v>
      </c>
      <c r="AC70" s="223">
        <v>7.6609999999999996</v>
      </c>
      <c r="AD70" s="204">
        <v>7.6349999999999998</v>
      </c>
      <c r="AE70" s="223">
        <v>3.5579999999999998</v>
      </c>
      <c r="AF70" s="223">
        <v>3.6120000000000001</v>
      </c>
      <c r="AG70" s="223">
        <v>3.472</v>
      </c>
      <c r="AH70" s="223">
        <v>3.2949999999999999</v>
      </c>
      <c r="AI70" s="223">
        <v>3.2759999999999998</v>
      </c>
      <c r="AJ70" s="223">
        <v>3.2410000000000001</v>
      </c>
      <c r="AK70" s="223">
        <v>3.2879999999999998</v>
      </c>
      <c r="AL70" s="223">
        <v>3.2650000000000001</v>
      </c>
      <c r="AM70" s="223">
        <v>5.3079999999999998</v>
      </c>
      <c r="AN70" s="223">
        <v>5.8760000000000003</v>
      </c>
      <c r="AO70" s="223">
        <v>7.6189999999999998</v>
      </c>
      <c r="AP70" s="223">
        <v>9.4529999999999994</v>
      </c>
      <c r="AQ70" s="223">
        <v>15.103</v>
      </c>
      <c r="AR70" s="223">
        <v>15.942</v>
      </c>
      <c r="AS70" s="223">
        <v>17.818999999999999</v>
      </c>
      <c r="AT70" s="223">
        <v>14.53</v>
      </c>
      <c r="AU70" s="223">
        <v>12.318</v>
      </c>
      <c r="AV70" s="223">
        <v>13.25</v>
      </c>
      <c r="AW70" s="223">
        <v>14.249000000000001</v>
      </c>
      <c r="BL70" s="223">
        <f t="shared" si="89"/>
        <v>15.25</v>
      </c>
      <c r="BM70" s="223">
        <f t="shared" si="90"/>
        <v>8.0139999999999993</v>
      </c>
      <c r="BN70" s="223">
        <f t="shared" si="91"/>
        <v>3.5579999999999998</v>
      </c>
      <c r="BO70" s="223">
        <f t="shared" si="92"/>
        <v>3.2759999999999998</v>
      </c>
      <c r="BP70" s="223">
        <f t="shared" si="93"/>
        <v>5.3079999999999998</v>
      </c>
      <c r="BQ70" s="223">
        <f t="shared" si="94"/>
        <v>15.103</v>
      </c>
      <c r="BR70" s="223">
        <v>12.318</v>
      </c>
      <c r="BT70" s="261" t="s">
        <v>2376</v>
      </c>
      <c r="BU70" s="149"/>
      <c r="BV70" s="149"/>
      <c r="BW70" s="262">
        <v>0</v>
      </c>
      <c r="BX70" s="149"/>
      <c r="BY70" s="263"/>
      <c r="BZ70" s="149"/>
      <c r="CA70" s="247"/>
      <c r="CB70" s="149"/>
      <c r="CC70" s="149"/>
      <c r="DP70" s="204"/>
    </row>
    <row r="71" spans="3:120" s="210" customFormat="1" ht="13.5" customHeight="1">
      <c r="C71" s="210" t="s">
        <v>2075</v>
      </c>
      <c r="D71" s="213"/>
      <c r="E71" s="213"/>
      <c r="F71" s="213"/>
      <c r="G71" s="213"/>
      <c r="H71" s="213"/>
      <c r="I71" s="213"/>
      <c r="J71" s="213"/>
      <c r="K71" s="213"/>
      <c r="L71" s="213"/>
      <c r="M71" s="213"/>
      <c r="N71" s="213"/>
      <c r="O71" s="213"/>
      <c r="P71" s="213"/>
      <c r="Q71" s="213"/>
      <c r="R71" s="213"/>
      <c r="S71" s="213"/>
      <c r="T71" s="206">
        <f>SUM(T64:T70)</f>
        <v>132.126</v>
      </c>
      <c r="U71" s="206">
        <f t="shared" ref="U71:AW71" si="95">SUM(U64:U70)</f>
        <v>130.92600000000002</v>
      </c>
      <c r="V71" s="206">
        <f t="shared" si="95"/>
        <v>147.22900000000001</v>
      </c>
      <c r="W71" s="206">
        <f t="shared" si="95"/>
        <v>180.28799999999998</v>
      </c>
      <c r="X71" s="206">
        <f t="shared" si="95"/>
        <v>176.12300000000002</v>
      </c>
      <c r="Y71" s="206">
        <f t="shared" si="95"/>
        <v>157.03900000000002</v>
      </c>
      <c r="Z71" s="206">
        <f t="shared" si="95"/>
        <v>190.59099999999998</v>
      </c>
      <c r="AA71" s="206">
        <f t="shared" si="95"/>
        <v>185.19500000000002</v>
      </c>
      <c r="AB71" s="206">
        <f t="shared" si="95"/>
        <v>190.35300000000001</v>
      </c>
      <c r="AC71" s="206">
        <f t="shared" si="95"/>
        <v>236.84200000000001</v>
      </c>
      <c r="AD71" s="206">
        <f t="shared" si="95"/>
        <v>288.63599999999997</v>
      </c>
      <c r="AE71" s="206">
        <f t="shared" si="95"/>
        <v>290.32299999999998</v>
      </c>
      <c r="AF71" s="206">
        <f t="shared" si="95"/>
        <v>342.27100000000007</v>
      </c>
      <c r="AG71" s="206">
        <f t="shared" si="95"/>
        <v>357.88499999999999</v>
      </c>
      <c r="AH71" s="206">
        <f t="shared" si="95"/>
        <v>347.84899999999993</v>
      </c>
      <c r="AI71" s="206">
        <f t="shared" si="95"/>
        <v>372.02799999999996</v>
      </c>
      <c r="AJ71" s="206">
        <f t="shared" si="95"/>
        <v>370.82899999999995</v>
      </c>
      <c r="AK71" s="206">
        <f t="shared" si="95"/>
        <v>365.98900000000003</v>
      </c>
      <c r="AL71" s="206">
        <f t="shared" si="95"/>
        <v>364.23899999999998</v>
      </c>
      <c r="AM71" s="206">
        <f t="shared" si="95"/>
        <v>377.36100000000005</v>
      </c>
      <c r="AN71" s="206">
        <f t="shared" si="95"/>
        <v>376.31450000000001</v>
      </c>
      <c r="AO71" s="206">
        <f t="shared" si="95"/>
        <v>373.33000000000004</v>
      </c>
      <c r="AP71" s="206">
        <f t="shared" si="95"/>
        <v>374.84299999999996</v>
      </c>
      <c r="AQ71" s="206">
        <f t="shared" si="95"/>
        <v>382.24700000000001</v>
      </c>
      <c r="AR71" s="206">
        <f t="shared" si="95"/>
        <v>380.42500000000001</v>
      </c>
      <c r="AS71" s="206">
        <f t="shared" si="95"/>
        <v>380.858</v>
      </c>
      <c r="AT71" s="206">
        <f t="shared" si="95"/>
        <v>385.65600000000001</v>
      </c>
      <c r="AU71" s="206">
        <f t="shared" si="95"/>
        <v>398.916</v>
      </c>
      <c r="AV71" s="206">
        <f t="shared" si="95"/>
        <v>424.62600000000003</v>
      </c>
      <c r="AW71" s="206">
        <f t="shared" si="95"/>
        <v>443.95700000000005</v>
      </c>
      <c r="AX71" s="208"/>
      <c r="AY71" s="208"/>
      <c r="AZ71" s="208"/>
      <c r="BA71" s="208"/>
      <c r="BB71" s="208"/>
      <c r="BC71" s="208"/>
      <c r="BL71" s="206"/>
      <c r="BM71" s="206"/>
      <c r="BN71" s="206"/>
      <c r="BO71" s="206"/>
      <c r="BP71" s="206"/>
      <c r="BQ71" s="206"/>
      <c r="BR71" s="206">
        <f t="shared" ref="BR71" si="96">SUM(BR64:BR70)</f>
        <v>398.916</v>
      </c>
      <c r="BS71" s="208"/>
      <c r="BT71" s="252" t="s">
        <v>2377</v>
      </c>
      <c r="BU71" s="149"/>
      <c r="BV71" s="149"/>
      <c r="BW71" s="253">
        <v>0.2</v>
      </c>
      <c r="BX71" s="149"/>
      <c r="BY71" s="263"/>
      <c r="BZ71" s="253"/>
      <c r="CA71" s="247"/>
      <c r="CB71" s="1"/>
      <c r="CC71" s="1"/>
      <c r="CD71" s="208"/>
      <c r="CE71" s="208"/>
      <c r="CF71" s="208"/>
      <c r="CG71" s="208"/>
      <c r="CH71" s="208"/>
      <c r="CI71" s="208"/>
      <c r="CJ71" s="208"/>
      <c r="CK71" s="208"/>
      <c r="CL71" s="208"/>
      <c r="CM71" s="208"/>
      <c r="CN71" s="208"/>
      <c r="CO71" s="208"/>
      <c r="CP71" s="208"/>
      <c r="CQ71" s="208"/>
      <c r="CR71" s="208"/>
      <c r="CS71" s="208"/>
      <c r="CT71" s="208"/>
      <c r="CU71" s="208"/>
      <c r="CV71" s="208"/>
      <c r="CW71" s="208"/>
      <c r="CX71" s="208"/>
      <c r="CY71" s="208"/>
      <c r="CZ71" s="208"/>
      <c r="DA71" s="208"/>
      <c r="DB71" s="208"/>
      <c r="DC71" s="208"/>
      <c r="DD71" s="208"/>
      <c r="DE71" s="208"/>
      <c r="DF71" s="208"/>
      <c r="DG71" s="208"/>
      <c r="DH71" s="208"/>
      <c r="DI71" s="208"/>
      <c r="DJ71" s="208"/>
      <c r="DK71" s="208"/>
      <c r="DL71" s="208"/>
      <c r="DM71" s="208"/>
      <c r="DN71" s="208"/>
      <c r="DO71" s="208"/>
    </row>
    <row r="72" spans="3:120" ht="13.5" customHeight="1">
      <c r="C72" s="204" t="s">
        <v>316</v>
      </c>
      <c r="T72" s="223">
        <v>436.66300000000001</v>
      </c>
      <c r="U72" s="223">
        <v>454.18299999999999</v>
      </c>
      <c r="V72" s="223">
        <v>466.94099999999997</v>
      </c>
      <c r="W72" s="223">
        <v>485.613</v>
      </c>
      <c r="X72" s="223">
        <v>488.11700000000002</v>
      </c>
      <c r="Y72" s="223">
        <v>623.16099999999994</v>
      </c>
      <c r="Z72" s="223">
        <v>619.71199999999999</v>
      </c>
      <c r="AA72" s="223">
        <v>637.78800000000001</v>
      </c>
      <c r="AB72" s="223">
        <v>650.471</v>
      </c>
      <c r="AC72" s="223">
        <v>673.37599999999998</v>
      </c>
      <c r="AD72" s="204">
        <v>684.60299999999995</v>
      </c>
      <c r="AE72" s="223">
        <v>953.92700000000002</v>
      </c>
      <c r="AF72" s="223">
        <v>959.30200000000002</v>
      </c>
      <c r="AG72" s="223">
        <v>970.01499999999999</v>
      </c>
      <c r="AH72" s="223">
        <v>973.75199999999995</v>
      </c>
      <c r="AI72" s="223">
        <v>998.85799999999995</v>
      </c>
      <c r="AJ72" s="223">
        <v>1024.4690000000001</v>
      </c>
      <c r="AK72" s="223">
        <v>1066.5429999999999</v>
      </c>
      <c r="AL72" s="223">
        <v>1104.1379999999999</v>
      </c>
      <c r="AM72" s="223">
        <v>1178.94</v>
      </c>
      <c r="AN72" s="223">
        <v>1203.5309999999999</v>
      </c>
      <c r="AO72" s="223">
        <v>1161.231</v>
      </c>
      <c r="AP72" s="223">
        <v>1104.28</v>
      </c>
      <c r="AQ72" s="223">
        <v>1150.931</v>
      </c>
      <c r="AR72" s="223">
        <v>1212.8820000000001</v>
      </c>
      <c r="AS72" s="223">
        <v>1293.95</v>
      </c>
      <c r="AT72" s="204">
        <v>1358.6959999999999</v>
      </c>
      <c r="AU72" s="223">
        <v>1427.6030000000001</v>
      </c>
      <c r="AV72" s="223">
        <v>1473.8119999999999</v>
      </c>
      <c r="AW72" s="223">
        <v>1530.7660000000001</v>
      </c>
      <c r="BL72" s="223">
        <f>W72</f>
        <v>485.613</v>
      </c>
      <c r="BM72" s="223">
        <f>AA72</f>
        <v>637.78800000000001</v>
      </c>
      <c r="BN72" s="223">
        <f>AE72</f>
        <v>953.92700000000002</v>
      </c>
      <c r="BO72" s="223">
        <f>AI72</f>
        <v>998.85799999999995</v>
      </c>
      <c r="BP72" s="223">
        <f>AM72</f>
        <v>1178.94</v>
      </c>
      <c r="BQ72" s="223">
        <f>AQ72</f>
        <v>1150.931</v>
      </c>
      <c r="BR72" s="223">
        <v>1427.6030000000001</v>
      </c>
      <c r="BT72" s="264" t="s">
        <v>2378</v>
      </c>
      <c r="BU72" s="149"/>
      <c r="BV72" s="149"/>
      <c r="BW72" s="256">
        <f>BW70*(1-BW71)</f>
        <v>0</v>
      </c>
      <c r="BX72" s="149"/>
      <c r="BY72" s="149"/>
      <c r="BZ72" s="149"/>
      <c r="CA72" s="247"/>
      <c r="CB72" s="149"/>
      <c r="CC72" s="149"/>
      <c r="DP72" s="204"/>
    </row>
    <row r="73" spans="3:120" s="210" customFormat="1" ht="13.5" customHeight="1">
      <c r="C73" s="210" t="s">
        <v>317</v>
      </c>
      <c r="D73" s="213"/>
      <c r="E73" s="213"/>
      <c r="F73" s="213"/>
      <c r="G73" s="213"/>
      <c r="H73" s="213"/>
      <c r="I73" s="213"/>
      <c r="J73" s="213"/>
      <c r="K73" s="213"/>
      <c r="L73" s="213"/>
      <c r="M73" s="213"/>
      <c r="N73" s="213"/>
      <c r="O73" s="213"/>
      <c r="P73" s="213"/>
      <c r="Q73" s="213"/>
      <c r="R73" s="213"/>
      <c r="S73" s="213"/>
      <c r="T73" s="206">
        <f>SUM(T71:T72)</f>
        <v>568.78899999999999</v>
      </c>
      <c r="U73" s="206">
        <f t="shared" ref="U73:AW73" si="97">SUM(U71:U72)</f>
        <v>585.10900000000004</v>
      </c>
      <c r="V73" s="206">
        <f t="shared" si="97"/>
        <v>614.16999999999996</v>
      </c>
      <c r="W73" s="206">
        <f t="shared" si="97"/>
        <v>665.90099999999995</v>
      </c>
      <c r="X73" s="206">
        <f t="shared" si="97"/>
        <v>664.24</v>
      </c>
      <c r="Y73" s="206">
        <f t="shared" si="97"/>
        <v>780.19999999999993</v>
      </c>
      <c r="Z73" s="206">
        <f t="shared" si="97"/>
        <v>810.303</v>
      </c>
      <c r="AA73" s="206">
        <f t="shared" si="97"/>
        <v>822.98300000000006</v>
      </c>
      <c r="AB73" s="206">
        <f t="shared" si="97"/>
        <v>840.82400000000007</v>
      </c>
      <c r="AC73" s="206">
        <f t="shared" si="97"/>
        <v>910.21799999999996</v>
      </c>
      <c r="AD73" s="206">
        <f t="shared" si="97"/>
        <v>973.23899999999992</v>
      </c>
      <c r="AE73" s="206">
        <f t="shared" si="97"/>
        <v>1244.25</v>
      </c>
      <c r="AF73" s="206">
        <f t="shared" si="97"/>
        <v>1301.5730000000001</v>
      </c>
      <c r="AG73" s="206">
        <f t="shared" si="97"/>
        <v>1327.9</v>
      </c>
      <c r="AH73" s="206">
        <f t="shared" si="97"/>
        <v>1321.6009999999999</v>
      </c>
      <c r="AI73" s="206">
        <f t="shared" si="97"/>
        <v>1370.886</v>
      </c>
      <c r="AJ73" s="206">
        <f t="shared" si="97"/>
        <v>1395.298</v>
      </c>
      <c r="AK73" s="206">
        <f t="shared" si="97"/>
        <v>1432.5319999999999</v>
      </c>
      <c r="AL73" s="206">
        <f t="shared" si="97"/>
        <v>1468.377</v>
      </c>
      <c r="AM73" s="206">
        <f t="shared" si="97"/>
        <v>1556.3010000000002</v>
      </c>
      <c r="AN73" s="206">
        <f t="shared" si="97"/>
        <v>1579.8454999999999</v>
      </c>
      <c r="AO73" s="206">
        <f t="shared" si="97"/>
        <v>1534.5610000000001</v>
      </c>
      <c r="AP73" s="206">
        <f t="shared" si="97"/>
        <v>1479.123</v>
      </c>
      <c r="AQ73" s="206">
        <f t="shared" si="97"/>
        <v>1533.1780000000001</v>
      </c>
      <c r="AR73" s="206">
        <f t="shared" si="97"/>
        <v>1593.307</v>
      </c>
      <c r="AS73" s="206">
        <f t="shared" si="97"/>
        <v>1674.808</v>
      </c>
      <c r="AT73" s="206">
        <f t="shared" si="97"/>
        <v>1744.3519999999999</v>
      </c>
      <c r="AU73" s="206">
        <f t="shared" si="97"/>
        <v>1826.519</v>
      </c>
      <c r="AV73" s="206">
        <f t="shared" si="97"/>
        <v>1898.4379999999999</v>
      </c>
      <c r="AW73" s="206">
        <f t="shared" si="97"/>
        <v>1974.7230000000002</v>
      </c>
      <c r="AX73" s="208"/>
      <c r="AY73" s="208"/>
      <c r="AZ73" s="208"/>
      <c r="BA73" s="208"/>
      <c r="BB73" s="208"/>
      <c r="BC73" s="208"/>
      <c r="BL73" s="206">
        <f t="shared" ref="BL73:BP73" si="98">SUM(BL64:BL72)</f>
        <v>665.90099999999995</v>
      </c>
      <c r="BM73" s="206">
        <f t="shared" si="98"/>
        <v>822.98300000000006</v>
      </c>
      <c r="BN73" s="206">
        <f t="shared" si="98"/>
        <v>1244.25</v>
      </c>
      <c r="BO73" s="206">
        <f t="shared" si="98"/>
        <v>1370.886</v>
      </c>
      <c r="BP73" s="206">
        <f t="shared" si="98"/>
        <v>1556.3010000000002</v>
      </c>
      <c r="BQ73" s="206">
        <f>SUM(BQ64:BQ72)</f>
        <v>1533.1780000000001</v>
      </c>
      <c r="BR73" s="206">
        <f t="shared" ref="BR73" si="99">SUM(BR71:BR72)</f>
        <v>1826.519</v>
      </c>
      <c r="BS73" s="209"/>
      <c r="BT73" s="209"/>
      <c r="BU73" s="209"/>
      <c r="BV73" s="209"/>
      <c r="BW73" s="209"/>
      <c r="BX73" s="209"/>
      <c r="BY73" s="209"/>
      <c r="BZ73" s="209"/>
      <c r="CA73" s="209"/>
      <c r="CB73" s="209"/>
      <c r="CD73" s="209"/>
      <c r="CQ73" s="209"/>
      <c r="CR73" s="208"/>
      <c r="CS73" s="208"/>
      <c r="CT73" s="208"/>
      <c r="CU73" s="208"/>
      <c r="CV73" s="208"/>
      <c r="CW73" s="208"/>
      <c r="CX73" s="208"/>
      <c r="CY73" s="208"/>
      <c r="CZ73" s="208"/>
      <c r="DA73" s="208"/>
      <c r="DB73" s="208"/>
      <c r="DC73" s="208"/>
      <c r="DD73" s="208"/>
      <c r="DE73" s="208"/>
      <c r="DF73" s="208"/>
      <c r="DG73" s="208"/>
      <c r="DH73" s="208"/>
      <c r="DI73" s="208"/>
      <c r="DJ73" s="208"/>
      <c r="DK73" s="208"/>
      <c r="DL73" s="208"/>
      <c r="DM73" s="208"/>
      <c r="DN73" s="208"/>
      <c r="DO73" s="208"/>
    </row>
    <row r="74" spans="3:120" ht="13.5" customHeight="1">
      <c r="AR74" s="204"/>
      <c r="AS74" s="204"/>
      <c r="AT74" s="210"/>
      <c r="AU74" s="204"/>
      <c r="BM74" s="223"/>
      <c r="BN74" s="223"/>
      <c r="BO74" s="223"/>
      <c r="BP74" s="223"/>
      <c r="BQ74" s="223"/>
      <c r="BR74" s="223"/>
      <c r="BT74" s="255" t="s">
        <v>2379</v>
      </c>
      <c r="BU74" s="149"/>
      <c r="BV74" s="149"/>
      <c r="BW74" s="256">
        <f>(BW60*BW67)+(BW59*BW72*(1-BW71))</f>
        <v>0.10564731806424839</v>
      </c>
      <c r="DP74" s="204"/>
    </row>
    <row r="75" spans="3:120" ht="13.5" customHeight="1">
      <c r="C75" s="204" t="s">
        <v>497</v>
      </c>
      <c r="T75" s="226">
        <f t="shared" ref="T75:AP75" si="100">SUM(T50:T54)/SUM(T64:T67)</f>
        <v>6.0952861176741786</v>
      </c>
      <c r="U75" s="226">
        <f t="shared" si="100"/>
        <v>6.2298992273619929</v>
      </c>
      <c r="V75" s="226">
        <f t="shared" si="100"/>
        <v>5.2378984994255351</v>
      </c>
      <c r="W75" s="226">
        <f t="shared" si="100"/>
        <v>5.0867015200773222</v>
      </c>
      <c r="X75" s="226">
        <f t="shared" si="100"/>
        <v>5.1518041646797013</v>
      </c>
      <c r="Y75" s="226">
        <f t="shared" si="100"/>
        <v>7.4201798690924061</v>
      </c>
      <c r="Z75" s="226">
        <f t="shared" si="100"/>
        <v>5.4620239692749077</v>
      </c>
      <c r="AA75" s="226">
        <f t="shared" si="100"/>
        <v>5.8311180757467049</v>
      </c>
      <c r="AB75" s="226">
        <f t="shared" si="100"/>
        <v>5.6777726126834862</v>
      </c>
      <c r="AC75" s="226">
        <f t="shared" si="100"/>
        <v>6.0447587138811247</v>
      </c>
      <c r="AD75" s="226">
        <f t="shared" si="100"/>
        <v>5.7556803984249116</v>
      </c>
      <c r="AE75" s="226">
        <f t="shared" si="100"/>
        <v>5.5315795027476309</v>
      </c>
      <c r="AF75" s="226">
        <f t="shared" si="100"/>
        <v>5.3061591557198744</v>
      </c>
      <c r="AG75" s="226">
        <f t="shared" si="100"/>
        <v>4.9309153594681465</v>
      </c>
      <c r="AH75" s="226">
        <f t="shared" si="100"/>
        <v>5.2310745163808825</v>
      </c>
      <c r="AI75" s="226">
        <f t="shared" si="100"/>
        <v>5.214162503794884</v>
      </c>
      <c r="AJ75" s="226">
        <f t="shared" si="100"/>
        <v>5.3748428188726685</v>
      </c>
      <c r="AK75" s="226">
        <f t="shared" si="100"/>
        <v>5.7441925009020007</v>
      </c>
      <c r="AL75" s="226">
        <f t="shared" si="100"/>
        <v>5.9862694550517652</v>
      </c>
      <c r="AM75" s="226">
        <f t="shared" si="100"/>
        <v>6.0564891758852486</v>
      </c>
      <c r="AN75" s="226">
        <f t="shared" si="100"/>
        <v>6.1191203081081245</v>
      </c>
      <c r="AO75" s="226">
        <f t="shared" si="100"/>
        <v>6.2505463793263303</v>
      </c>
      <c r="AP75" s="226">
        <f t="shared" si="100"/>
        <v>5.8214120181479911</v>
      </c>
      <c r="AQ75" s="226">
        <f>SUM(AQ50:AQ54)/SUM(AQ64:AQ67)</f>
        <v>6.0066310903407114</v>
      </c>
      <c r="AR75" s="226">
        <f t="shared" ref="AR75:AT75" si="101">SUM(AR50:AR54)/SUM(AR64:AR67)</f>
        <v>6.3021433524554</v>
      </c>
      <c r="AS75" s="226">
        <f t="shared" si="101"/>
        <v>6.7537857898973774</v>
      </c>
      <c r="AT75" s="226">
        <f t="shared" si="101"/>
        <v>6.7305413229718809</v>
      </c>
      <c r="AU75" s="226">
        <f>SUM(AU50:AU54)/SUM(AU64:AU67)</f>
        <v>6.6436742695199653</v>
      </c>
      <c r="AV75" s="226">
        <f t="shared" ref="AV75:AW75" si="102">SUM(AV50:AV54)/SUM(AV64:AV67)</f>
        <v>6.0237093292904671</v>
      </c>
      <c r="AW75" s="226">
        <f t="shared" si="102"/>
        <v>5.749615016083772</v>
      </c>
      <c r="AX75" s="224"/>
      <c r="AY75" s="224"/>
      <c r="AZ75" s="224"/>
      <c r="BA75" s="224"/>
      <c r="BB75" s="224"/>
      <c r="BC75" s="224"/>
      <c r="BD75" s="223"/>
      <c r="BE75" s="223"/>
      <c r="BF75" s="223"/>
      <c r="BH75" s="223"/>
      <c r="BI75" s="223"/>
      <c r="BJ75" s="223"/>
      <c r="BK75" s="223"/>
      <c r="BL75" s="226">
        <f t="shared" ref="BL75:BP75" si="103">SUM(BL50:BL54)/SUM(BL64:BL67)</f>
        <v>5.0867015200773222</v>
      </c>
      <c r="BM75" s="226">
        <f t="shared" si="103"/>
        <v>5.8311180757467049</v>
      </c>
      <c r="BN75" s="226">
        <f t="shared" si="103"/>
        <v>5.5315795027476309</v>
      </c>
      <c r="BO75" s="226">
        <f t="shared" si="103"/>
        <v>5.214162503794884</v>
      </c>
      <c r="BP75" s="226">
        <f t="shared" si="103"/>
        <v>6.0564891758852486</v>
      </c>
      <c r="BQ75" s="226">
        <f t="shared" ref="BQ75" si="104">SUM(BQ50:BQ54)/SUM(BQ64:BQ67)</f>
        <v>6.0066310903407114</v>
      </c>
      <c r="BR75" s="226">
        <f>SUM(BR50:BR54)/SUM(BR64:BR67)</f>
        <v>6.6436742695199653</v>
      </c>
      <c r="DP75" s="204"/>
    </row>
    <row r="76" spans="3:120" ht="13.5" customHeight="1">
      <c r="C76" s="204" t="s">
        <v>498</v>
      </c>
      <c r="T76" s="226">
        <f t="shared" ref="T76:AP76" si="105">(SUM(T50:T54)-T53)/SUM(T64:T67)</f>
        <v>4.3421166368927562</v>
      </c>
      <c r="U76" s="226">
        <f t="shared" si="105"/>
        <v>4.3271885437422055</v>
      </c>
      <c r="V76" s="226">
        <f t="shared" si="105"/>
        <v>3.6089802360532457</v>
      </c>
      <c r="W76" s="226">
        <f t="shared" si="105"/>
        <v>3.4063570863720241</v>
      </c>
      <c r="X76" s="226">
        <f t="shared" si="105"/>
        <v>3.2652996343983474</v>
      </c>
      <c r="Y76" s="226">
        <f t="shared" si="105"/>
        <v>5.0566020718445577</v>
      </c>
      <c r="Z76" s="226">
        <f t="shared" si="105"/>
        <v>3.689343389940309</v>
      </c>
      <c r="AA76" s="226">
        <f t="shared" si="105"/>
        <v>3.7587792168560963</v>
      </c>
      <c r="AB76" s="226">
        <f t="shared" si="105"/>
        <v>3.484704367881855</v>
      </c>
      <c r="AC76" s="226">
        <f t="shared" si="105"/>
        <v>3.6848657053477223</v>
      </c>
      <c r="AD76" s="226">
        <f t="shared" si="105"/>
        <v>3.5299120259872301</v>
      </c>
      <c r="AE76" s="226">
        <f t="shared" si="105"/>
        <v>3.3926962507203902</v>
      </c>
      <c r="AF76" s="226">
        <f t="shared" si="105"/>
        <v>3.19738814287581</v>
      </c>
      <c r="AG76" s="226">
        <f t="shared" si="105"/>
        <v>2.8988077250624991</v>
      </c>
      <c r="AH76" s="226">
        <f t="shared" si="105"/>
        <v>2.9156015961599637</v>
      </c>
      <c r="AI76" s="226">
        <f t="shared" si="105"/>
        <v>2.9095920845637959</v>
      </c>
      <c r="AJ76" s="226">
        <f t="shared" si="105"/>
        <v>3.0236728445683663</v>
      </c>
      <c r="AK76" s="226">
        <f t="shared" si="105"/>
        <v>3.2548777441647472</v>
      </c>
      <c r="AL76" s="226">
        <f t="shared" si="105"/>
        <v>3.406657108589862</v>
      </c>
      <c r="AM76" s="226">
        <f t="shared" si="105"/>
        <v>3.4892486635261739</v>
      </c>
      <c r="AN76" s="226">
        <f t="shared" si="105"/>
        <v>3.5120726946699512</v>
      </c>
      <c r="AO76" s="226">
        <f t="shared" si="105"/>
        <v>3.7749579453488216</v>
      </c>
      <c r="AP76" s="226">
        <f t="shared" si="105"/>
        <v>3.2531905865456801</v>
      </c>
      <c r="AQ76" s="226">
        <f>(SUM(AQ50:AQ54)-AQ53)/SUM(AQ64:AQ67)</f>
        <v>3.4379550980454061</v>
      </c>
      <c r="AR76" s="226">
        <f>(SUM(AR50:AR54)-AR53)/SUM(AR64:AR67)</f>
        <v>3.6805522284561558</v>
      </c>
      <c r="AS76" s="226">
        <f>(SUM(AS50:AS54)-AS53)/SUM(AS64:AS67)</f>
        <v>4.0431792394825088</v>
      </c>
      <c r="AT76" s="226">
        <f>(SUM(AT50:AT54)-AT53)/SUM(AT64:AT67)</f>
        <v>4.1812644823499578</v>
      </c>
      <c r="AU76" s="226">
        <f>(SUM(AU50:AU54)-AU53)/SUM(AU64:AU67)</f>
        <v>4.2871956446953847</v>
      </c>
      <c r="AV76" s="226">
        <f t="shared" ref="AV76:AW76" si="106">(SUM(AV50:AV54)-AV53)/SUM(AV64:AV67)</f>
        <v>3.9525010508617058</v>
      </c>
      <c r="AW76" s="226">
        <f t="shared" si="106"/>
        <v>3.8561357881048517</v>
      </c>
      <c r="AX76" s="224"/>
      <c r="AY76" s="224"/>
      <c r="AZ76" s="224"/>
      <c r="BA76" s="224"/>
      <c r="BB76" s="224"/>
      <c r="BC76" s="224"/>
      <c r="BD76" s="223"/>
      <c r="BE76" s="223"/>
      <c r="BF76" s="223"/>
      <c r="BH76" s="223"/>
      <c r="BI76" s="223"/>
      <c r="BJ76" s="223"/>
      <c r="BK76" s="223"/>
      <c r="BL76" s="226">
        <f t="shared" ref="BL76:BP76" si="107">(SUM(BL50:BL54)-BL53)/SUM(BL64:BL67)</f>
        <v>3.4063570863720241</v>
      </c>
      <c r="BM76" s="226">
        <f t="shared" si="107"/>
        <v>3.7587792168560963</v>
      </c>
      <c r="BN76" s="226">
        <f t="shared" si="107"/>
        <v>3.3926962507203902</v>
      </c>
      <c r="BO76" s="226">
        <f t="shared" si="107"/>
        <v>2.9095920845637959</v>
      </c>
      <c r="BP76" s="226">
        <f t="shared" si="107"/>
        <v>3.4892486635261739</v>
      </c>
      <c r="BQ76" s="226">
        <f t="shared" ref="BQ76" si="108">(SUM(BQ50:BQ54)-BQ53)/SUM(BQ64:BQ67)</f>
        <v>3.4379550980454061</v>
      </c>
      <c r="BR76" s="226">
        <f>(SUM(BR50:BR54)-BR53)/SUM(BR64:BR67)</f>
        <v>4.2871956446953847</v>
      </c>
      <c r="CQ76" s="210"/>
      <c r="DP76" s="204"/>
    </row>
    <row r="77" spans="3:120" ht="13.5" customHeight="1">
      <c r="C77" s="204" t="s">
        <v>499</v>
      </c>
      <c r="T77" s="226">
        <f t="shared" ref="T77:AP77" si="109">T50/SUM(T64:T67)</f>
        <v>1.3773699072206536</v>
      </c>
      <c r="U77" s="226">
        <f t="shared" si="109"/>
        <v>1.1075099267499031</v>
      </c>
      <c r="V77" s="226">
        <f t="shared" si="109"/>
        <v>1.2949388977218657</v>
      </c>
      <c r="W77" s="226">
        <f t="shared" si="109"/>
        <v>0.79934759687197954</v>
      </c>
      <c r="X77" s="226">
        <f t="shared" si="109"/>
        <v>0.82267184413107164</v>
      </c>
      <c r="Y77" s="226">
        <f t="shared" si="109"/>
        <v>1.731446168118332</v>
      </c>
      <c r="Z77" s="226">
        <f t="shared" si="109"/>
        <v>0.74142797649345238</v>
      </c>
      <c r="AA77" s="226">
        <f t="shared" si="109"/>
        <v>0.65768606275724051</v>
      </c>
      <c r="AB77" s="226">
        <f t="shared" si="109"/>
        <v>0.49732706370349183</v>
      </c>
      <c r="AC77" s="226">
        <f t="shared" si="109"/>
        <v>0.76149973159580187</v>
      </c>
      <c r="AD77" s="226">
        <f t="shared" si="109"/>
        <v>0.57118484882428466</v>
      </c>
      <c r="AE77" s="226">
        <f t="shared" si="109"/>
        <v>0.48198413922416938</v>
      </c>
      <c r="AF77" s="226">
        <f t="shared" si="109"/>
        <v>0.52393177503285948</v>
      </c>
      <c r="AG77" s="226">
        <f t="shared" si="109"/>
        <v>0.39994780363176835</v>
      </c>
      <c r="AH77" s="226">
        <f t="shared" si="109"/>
        <v>0.39646647196599494</v>
      </c>
      <c r="AI77" s="226">
        <f t="shared" si="109"/>
        <v>0.48200535423508972</v>
      </c>
      <c r="AJ77" s="226">
        <f t="shared" si="109"/>
        <v>0.64709419933300527</v>
      </c>
      <c r="AK77" s="226">
        <f t="shared" si="109"/>
        <v>0.79214426466098642</v>
      </c>
      <c r="AL77" s="226">
        <f t="shared" si="109"/>
        <v>0.69450226774562651</v>
      </c>
      <c r="AM77" s="226">
        <f t="shared" si="109"/>
        <v>1.1081220557878579</v>
      </c>
      <c r="AN77" s="226">
        <f t="shared" si="109"/>
        <v>1.4601367115282045</v>
      </c>
      <c r="AO77" s="226">
        <f t="shared" si="109"/>
        <v>1.9095593202378902</v>
      </c>
      <c r="AP77" s="226">
        <f t="shared" si="109"/>
        <v>1.8309625616085126</v>
      </c>
      <c r="AQ77" s="226">
        <f>AQ50/SUM(AQ64:AQ67)</f>
        <v>2.048691149073226</v>
      </c>
      <c r="AR77" s="226">
        <f t="shared" ref="AR77:AT77" si="110">AR50/SUM(AR64:AR67)</f>
        <v>2.3706360713610288</v>
      </c>
      <c r="AS77" s="226">
        <f t="shared" si="110"/>
        <v>2.6734617554401914</v>
      </c>
      <c r="AT77" s="226">
        <f t="shared" si="110"/>
        <v>1.8928261882160102</v>
      </c>
      <c r="AU77" s="226">
        <f>AU50/SUM(AU64:AU67)</f>
        <v>1.0205151447308785</v>
      </c>
      <c r="AV77" s="226">
        <f t="shared" ref="AV77:AW77" si="111">AV50/SUM(AV64:AV67)</f>
        <v>1.1396016643760241</v>
      </c>
      <c r="AW77" s="226">
        <f t="shared" si="111"/>
        <v>0.87806703853261237</v>
      </c>
      <c r="AX77" s="224"/>
      <c r="AY77" s="224"/>
      <c r="AZ77" s="224"/>
      <c r="BA77" s="224"/>
      <c r="BB77" s="224"/>
      <c r="BC77" s="224"/>
      <c r="BD77" s="223"/>
      <c r="BE77" s="223"/>
      <c r="BF77" s="223"/>
      <c r="BH77" s="223"/>
      <c r="BI77" s="223"/>
      <c r="BJ77" s="223"/>
      <c r="BK77" s="223"/>
      <c r="BL77" s="226">
        <f t="shared" ref="BL77:BP77" si="112">SUM(BL50:BL51)/SUM(BL64:BL67)</f>
        <v>2.0801006062736138</v>
      </c>
      <c r="BM77" s="226">
        <f t="shared" si="112"/>
        <v>2.5000188800362495</v>
      </c>
      <c r="BN77" s="226">
        <f t="shared" si="112"/>
        <v>2.068840962036413</v>
      </c>
      <c r="BO77" s="226">
        <f t="shared" si="112"/>
        <v>1.2973670410951346</v>
      </c>
      <c r="BP77" s="226">
        <f t="shared" si="112"/>
        <v>1.9133210712962474</v>
      </c>
      <c r="BQ77" s="226">
        <f t="shared" ref="BQ77" si="113">SUM(BQ50:BQ51)/SUM(BQ64:BQ67)</f>
        <v>2.1480122517288196</v>
      </c>
      <c r="BR77" s="226">
        <f>SUM(BR50:BR51)/SUM(BR64:BR67)</f>
        <v>2.9749362485188358</v>
      </c>
      <c r="DP77" s="204"/>
    </row>
    <row r="78" spans="3:120" ht="13.5" customHeight="1">
      <c r="C78" s="204" t="s">
        <v>1518</v>
      </c>
      <c r="T78" s="226">
        <f t="shared" ref="T78:AW78" si="114">T26/SUM(T55:T57)</f>
        <v>1.6518210813313441</v>
      </c>
      <c r="U78" s="226">
        <f t="shared" si="114"/>
        <v>1.6688345602865102</v>
      </c>
      <c r="V78" s="226">
        <f t="shared" si="114"/>
        <v>1.5953660712243545</v>
      </c>
      <c r="W78" s="226">
        <f t="shared" si="114"/>
        <v>1.0724088798328577</v>
      </c>
      <c r="X78" s="226">
        <f t="shared" si="114"/>
        <v>0.97270337860335965</v>
      </c>
      <c r="Y78" s="226">
        <f t="shared" si="114"/>
        <v>0.73607687135813538</v>
      </c>
      <c r="Z78" s="226">
        <f t="shared" si="114"/>
        <v>1.0386164611429591</v>
      </c>
      <c r="AA78" s="226">
        <f t="shared" si="114"/>
        <v>1.3098739660665801</v>
      </c>
      <c r="AB78" s="226">
        <f t="shared" si="114"/>
        <v>1.3146648847725753</v>
      </c>
      <c r="AC78" s="226">
        <f t="shared" si="114"/>
        <v>1.0200580043835374</v>
      </c>
      <c r="AD78" s="226">
        <f t="shared" si="114"/>
        <v>0.83733796122962267</v>
      </c>
      <c r="AE78" s="226">
        <f t="shared" si="114"/>
        <v>0.89829008265554611</v>
      </c>
      <c r="AF78" s="226">
        <f t="shared" si="114"/>
        <v>0.7475189629320047</v>
      </c>
      <c r="AG78" s="226">
        <f t="shared" si="114"/>
        <v>0.75573970336400309</v>
      </c>
      <c r="AH78" s="226">
        <f t="shared" si="114"/>
        <v>0.78312811492231016</v>
      </c>
      <c r="AI78" s="226">
        <f t="shared" si="114"/>
        <v>0.76031879136967551</v>
      </c>
      <c r="AJ78" s="226">
        <f t="shared" si="114"/>
        <v>0.83926684096345328</v>
      </c>
      <c r="AK78" s="226">
        <f t="shared" si="114"/>
        <v>0.91689077604373037</v>
      </c>
      <c r="AL78" s="226">
        <f t="shared" si="114"/>
        <v>0.96228988760851941</v>
      </c>
      <c r="AM78" s="226">
        <f t="shared" si="114"/>
        <v>0.97327193980973492</v>
      </c>
      <c r="AN78" s="226">
        <f t="shared" si="114"/>
        <v>0.9550309605480034</v>
      </c>
      <c r="AO78" s="226">
        <f t="shared" si="114"/>
        <v>1.1072853756227092</v>
      </c>
      <c r="AP78" s="226">
        <f t="shared" si="114"/>
        <v>1.1159307455603753</v>
      </c>
      <c r="AQ78" s="226">
        <f t="shared" si="114"/>
        <v>1.1752829246850389</v>
      </c>
      <c r="AR78" s="226">
        <f t="shared" si="114"/>
        <v>1.1790253235463151</v>
      </c>
      <c r="AS78" s="226">
        <f t="shared" si="114"/>
        <v>1.1848755628468706</v>
      </c>
      <c r="AT78" s="226">
        <f t="shared" si="114"/>
        <v>1.2013650143106338</v>
      </c>
      <c r="AU78" s="226">
        <f t="shared" si="114"/>
        <v>1.2157447278348239</v>
      </c>
      <c r="AV78" s="226">
        <f t="shared" si="114"/>
        <v>1.1372120616251089</v>
      </c>
      <c r="AW78" s="226">
        <f t="shared" si="114"/>
        <v>1.153064572869521</v>
      </c>
      <c r="AX78" s="224"/>
      <c r="AY78" s="224"/>
      <c r="AZ78" s="224"/>
      <c r="BA78" s="224"/>
      <c r="BB78" s="224"/>
      <c r="BC78" s="224"/>
      <c r="BD78" s="223"/>
      <c r="BE78" s="223"/>
      <c r="BF78" s="223"/>
      <c r="BH78" s="223"/>
      <c r="BI78" s="223"/>
      <c r="BJ78" s="223"/>
      <c r="BK78" s="223"/>
      <c r="BL78" s="226">
        <f t="shared" ref="BL78:BQ78" si="115">BK26/SUM(BL55:BL57)</f>
        <v>3.2845341188456514</v>
      </c>
      <c r="BM78" s="226">
        <f t="shared" si="115"/>
        <v>4.2958501404736875</v>
      </c>
      <c r="BN78" s="226">
        <f t="shared" si="115"/>
        <v>2.4678295102757972</v>
      </c>
      <c r="BO78" s="226">
        <f t="shared" si="115"/>
        <v>2.5692673572209204</v>
      </c>
      <c r="BP78" s="226">
        <f t="shared" si="115"/>
        <v>2.8957950905691208</v>
      </c>
      <c r="BQ78" s="226">
        <f t="shared" si="115"/>
        <v>3.9431394023378998</v>
      </c>
      <c r="BR78" s="226">
        <f>BR26/SUM(BR55:BR57)</f>
        <v>4.4280351425101339</v>
      </c>
      <c r="CQ78" s="210"/>
      <c r="DP78" s="204"/>
    </row>
    <row r="79" spans="3:120" ht="13.5" customHeight="1">
      <c r="C79" s="204" t="s">
        <v>500</v>
      </c>
      <c r="T79" s="226">
        <f t="shared" ref="T79:AW79" si="116">T26/T62</f>
        <v>0.2258113289813973</v>
      </c>
      <c r="U79" s="226">
        <f t="shared" si="116"/>
        <v>0.229360683223126</v>
      </c>
      <c r="V79" s="226">
        <f t="shared" si="116"/>
        <v>0.22713906573098652</v>
      </c>
      <c r="W79" s="226">
        <f t="shared" si="116"/>
        <v>0.2181420361284937</v>
      </c>
      <c r="X79" s="226">
        <f t="shared" si="116"/>
        <v>0.20670239672407562</v>
      </c>
      <c r="Y79" s="226">
        <f t="shared" si="116"/>
        <v>0.13470904896180469</v>
      </c>
      <c r="Z79" s="226">
        <f t="shared" si="116"/>
        <v>0.18647322486375484</v>
      </c>
      <c r="AA79" s="226">
        <f t="shared" si="116"/>
        <v>0.2028134238495814</v>
      </c>
      <c r="AB79" s="226">
        <f t="shared" si="116"/>
        <v>0.20123117323006956</v>
      </c>
      <c r="AC79" s="226">
        <f t="shared" si="116"/>
        <v>0.20247896657723757</v>
      </c>
      <c r="AD79" s="226">
        <f t="shared" si="116"/>
        <v>0.19532674846209727</v>
      </c>
      <c r="AE79" s="226">
        <f t="shared" si="116"/>
        <v>0.16394615230058271</v>
      </c>
      <c r="AF79" s="226">
        <f t="shared" si="116"/>
        <v>0.15665659936092716</v>
      </c>
      <c r="AG79" s="226">
        <f t="shared" si="116"/>
        <v>0.15686422170344153</v>
      </c>
      <c r="AH79" s="226">
        <f t="shared" si="116"/>
        <v>0.16169781953857482</v>
      </c>
      <c r="AI79" s="226">
        <f t="shared" si="116"/>
        <v>0.16137957496101057</v>
      </c>
      <c r="AJ79" s="226">
        <f t="shared" si="116"/>
        <v>0.17300963665109534</v>
      </c>
      <c r="AK79" s="226">
        <f t="shared" si="116"/>
        <v>0.18254391524936267</v>
      </c>
      <c r="AL79" s="226">
        <f t="shared" si="116"/>
        <v>0.18448940564991143</v>
      </c>
      <c r="AM79" s="226">
        <f t="shared" si="116"/>
        <v>0.18294614487520119</v>
      </c>
      <c r="AN79" s="226">
        <f t="shared" si="116"/>
        <v>0.17640971107925144</v>
      </c>
      <c r="AO79" s="226">
        <f t="shared" si="116"/>
        <v>0.19510465859617179</v>
      </c>
      <c r="AP79" s="226">
        <f t="shared" si="116"/>
        <v>0.20349896526522815</v>
      </c>
      <c r="AQ79" s="226">
        <f t="shared" si="116"/>
        <v>0.20578198458624455</v>
      </c>
      <c r="AR79" s="226">
        <f t="shared" si="116"/>
        <v>0.20343850871175484</v>
      </c>
      <c r="AS79" s="226">
        <f t="shared" si="116"/>
        <v>0.20268281338349625</v>
      </c>
      <c r="AT79" s="226">
        <f t="shared" si="116"/>
        <v>0.20333140522446799</v>
      </c>
      <c r="AU79" s="226">
        <f t="shared" si="116"/>
        <v>0.21099517057384273</v>
      </c>
      <c r="AV79" s="226">
        <f t="shared" si="116"/>
        <v>0.19740333895549922</v>
      </c>
      <c r="AW79" s="226">
        <f t="shared" si="116"/>
        <v>0.19751934828327825</v>
      </c>
      <c r="AX79" s="224"/>
      <c r="AY79" s="224"/>
      <c r="AZ79" s="224"/>
      <c r="BA79" s="224"/>
      <c r="BB79" s="224"/>
      <c r="BC79" s="224"/>
      <c r="BD79" s="223"/>
      <c r="BE79" s="223"/>
      <c r="BF79" s="223"/>
      <c r="BH79" s="223"/>
      <c r="BI79" s="223"/>
      <c r="BJ79" s="223"/>
      <c r="BK79" s="223"/>
      <c r="BL79" s="226">
        <f t="shared" ref="BL79:BR79" si="117">BL26/BL62</f>
        <v>0.82204862284333569</v>
      </c>
      <c r="BM79" s="226">
        <f t="shared" si="117"/>
        <v>0.68095209743093121</v>
      </c>
      <c r="BN79" s="226">
        <f t="shared" si="117"/>
        <v>0.6008358448864779</v>
      </c>
      <c r="BO79" s="226">
        <f t="shared" si="117"/>
        <v>0.61794562056947122</v>
      </c>
      <c r="BP79" s="226">
        <f t="shared" si="117"/>
        <v>0.68014945656539028</v>
      </c>
      <c r="BQ79" s="226">
        <f t="shared" si="117"/>
        <v>0.77916690582164094</v>
      </c>
      <c r="BR79" s="226">
        <f t="shared" si="117"/>
        <v>0.76849523490414251</v>
      </c>
      <c r="DP79" s="204"/>
    </row>
    <row r="80" spans="3:120" ht="13.5" customHeight="1">
      <c r="C80" s="204" t="s">
        <v>496</v>
      </c>
      <c r="T80" s="226"/>
      <c r="U80" s="226">
        <f>U27/AVERAGE(B53:U53)</f>
        <v>0.31657928041945399</v>
      </c>
      <c r="V80" s="226">
        <f>V27/AVERAGE(C53:V53)</f>
        <v>0.33059006801170254</v>
      </c>
      <c r="W80" s="226">
        <f t="shared" ref="W80:AW80" si="118">W27/AVERAGE(T53:W53)</f>
        <v>0.34419115808075174</v>
      </c>
      <c r="X80" s="226">
        <f t="shared" si="118"/>
        <v>0.33297424346293208</v>
      </c>
      <c r="Y80" s="226">
        <f t="shared" si="118"/>
        <v>0.25009915311574088</v>
      </c>
      <c r="Z80" s="226">
        <f t="shared" si="118"/>
        <v>0.34663673964499597</v>
      </c>
      <c r="AA80" s="226">
        <f t="shared" si="118"/>
        <v>0.38168557110329349</v>
      </c>
      <c r="AB80" s="226">
        <f t="shared" si="118"/>
        <v>0.27561062444260015</v>
      </c>
      <c r="AC80" s="226">
        <f t="shared" si="118"/>
        <v>0.28791755726530988</v>
      </c>
      <c r="AD80" s="226">
        <f t="shared" si="118"/>
        <v>0.28707517627826667</v>
      </c>
      <c r="AE80" s="226">
        <f t="shared" si="118"/>
        <v>0.30736568576230944</v>
      </c>
      <c r="AF80" s="226">
        <f t="shared" si="118"/>
        <v>0.29111084473517479</v>
      </c>
      <c r="AG80" s="226">
        <f t="shared" si="118"/>
        <v>0.27214821272247108</v>
      </c>
      <c r="AH80" s="226">
        <f t="shared" si="118"/>
        <v>0.2717410141762851</v>
      </c>
      <c r="AI80" s="226">
        <f t="shared" si="118"/>
        <v>0.27022674599972879</v>
      </c>
      <c r="AJ80" s="226">
        <f t="shared" si="118"/>
        <v>0.27908378308421578</v>
      </c>
      <c r="AK80" s="226">
        <f t="shared" si="118"/>
        <v>0.27882533773676943</v>
      </c>
      <c r="AL80" s="226">
        <f t="shared" si="118"/>
        <v>0.26419798407300027</v>
      </c>
      <c r="AM80" s="226">
        <f t="shared" si="118"/>
        <v>0.26701613563764443</v>
      </c>
      <c r="AN80" s="226">
        <f t="shared" si="118"/>
        <v>0.25667959278769831</v>
      </c>
      <c r="AO80" s="226">
        <f t="shared" si="118"/>
        <v>0.35609244587414374</v>
      </c>
      <c r="AP80" s="226">
        <f t="shared" si="118"/>
        <v>0.25926862817415797</v>
      </c>
      <c r="AQ80" s="226">
        <f t="shared" si="118"/>
        <v>0.26661324225743571</v>
      </c>
      <c r="AR80" s="226">
        <f t="shared" si="118"/>
        <v>0.27237685965384584</v>
      </c>
      <c r="AS80" s="226">
        <f t="shared" si="118"/>
        <v>0.28094942873778395</v>
      </c>
      <c r="AT80" s="226">
        <f t="shared" si="118"/>
        <v>0.27164976913608935</v>
      </c>
      <c r="AU80" s="226">
        <f t="shared" si="118"/>
        <v>0.28875867178554593</v>
      </c>
      <c r="AV80" s="226">
        <f t="shared" si="118"/>
        <v>0.28055796231505925</v>
      </c>
      <c r="AW80" s="226">
        <f t="shared" si="118"/>
        <v>0.2867498365425995</v>
      </c>
      <c r="AX80" s="224"/>
      <c r="AY80" s="224"/>
      <c r="AZ80" s="224"/>
      <c r="BA80" s="224"/>
      <c r="BB80" s="224"/>
      <c r="BC80" s="224"/>
      <c r="BD80" s="223"/>
      <c r="BE80" s="223"/>
      <c r="BF80" s="223"/>
      <c r="BH80" s="223"/>
      <c r="BI80" s="223"/>
      <c r="BJ80" s="223"/>
      <c r="BK80" s="223"/>
      <c r="BL80" s="226">
        <f t="shared" ref="BL80:BR80" si="119">BL27/AVERAGE(BI53:BL53)</f>
        <v>1.1467331625183017</v>
      </c>
      <c r="BM80" s="226">
        <f t="shared" si="119"/>
        <v>1.1931579328839603</v>
      </c>
      <c r="BN80" s="226">
        <f t="shared" si="119"/>
        <v>1.283953567716891</v>
      </c>
      <c r="BO80" s="226">
        <f t="shared" si="119"/>
        <v>1.2862543284788392</v>
      </c>
      <c r="BP80" s="226">
        <f t="shared" si="119"/>
        <v>1.2477387018073789</v>
      </c>
      <c r="BQ80" s="226">
        <f t="shared" si="119"/>
        <v>1.2629734175124079</v>
      </c>
      <c r="BR80" s="226">
        <f t="shared" si="119"/>
        <v>1.1823971441664023</v>
      </c>
      <c r="DP80" s="204"/>
    </row>
    <row r="81" spans="3:120" ht="13.5" customHeight="1">
      <c r="C81" s="204" t="s">
        <v>494</v>
      </c>
      <c r="T81" s="236">
        <f t="shared" ref="T81:AW81" si="120">T39/T62</f>
        <v>1.8808380612142642E-2</v>
      </c>
      <c r="U81" s="236">
        <f t="shared" si="120"/>
        <v>2.8688671683395731E-2</v>
      </c>
      <c r="V81" s="236">
        <f t="shared" si="120"/>
        <v>1.8696777765113894E-2</v>
      </c>
      <c r="W81" s="236">
        <f t="shared" si="120"/>
        <v>1.4249865971067921E-2</v>
      </c>
      <c r="X81" s="236">
        <f t="shared" si="120"/>
        <v>2.282307599662792E-3</v>
      </c>
      <c r="Y81" s="236">
        <f t="shared" si="120"/>
        <v>-1.5303768264547575E-2</v>
      </c>
      <c r="Z81" s="236">
        <f t="shared" si="120"/>
        <v>-1.0900847089487405E-2</v>
      </c>
      <c r="AA81" s="236">
        <f t="shared" si="120"/>
        <v>4.4411609960351662E-3</v>
      </c>
      <c r="AB81" s="236">
        <f t="shared" si="120"/>
        <v>1.4071910411691393E-2</v>
      </c>
      <c r="AC81" s="236">
        <f t="shared" si="120"/>
        <v>1.0167893845210732E-2</v>
      </c>
      <c r="AD81" s="236">
        <f t="shared" si="120"/>
        <v>9.0851084161065777E-3</v>
      </c>
      <c r="AE81" s="236">
        <f t="shared" si="120"/>
        <v>-1.9823186658629765E-2</v>
      </c>
      <c r="AF81" s="236">
        <f t="shared" si="120"/>
        <v>5.5317680990614748E-5</v>
      </c>
      <c r="AG81" s="236">
        <f t="shared" si="120"/>
        <v>-2.7592439189698067E-3</v>
      </c>
      <c r="AH81" s="236">
        <f t="shared" si="120"/>
        <v>-1.7251802926904591E-3</v>
      </c>
      <c r="AI81" s="236">
        <f t="shared" si="120"/>
        <v>2.8229918461490956E-3</v>
      </c>
      <c r="AJ81" s="236">
        <f t="shared" si="120"/>
        <v>6.1664246634052658E-3</v>
      </c>
      <c r="AK81" s="236">
        <f t="shared" si="120"/>
        <v>1.333303549240087E-2</v>
      </c>
      <c r="AL81" s="236">
        <f t="shared" si="120"/>
        <v>6.272231177688015E-3</v>
      </c>
      <c r="AM81" s="236">
        <f t="shared" si="120"/>
        <v>3.4759253488230148E-2</v>
      </c>
      <c r="AN81" s="236">
        <f t="shared" si="120"/>
        <v>7.0260057157505891E-3</v>
      </c>
      <c r="AO81" s="236">
        <f t="shared" si="120"/>
        <v>-3.922946041245675E-2</v>
      </c>
      <c r="AP81" s="236">
        <f t="shared" si="120"/>
        <v>1.9944250748585503E-2</v>
      </c>
      <c r="AQ81" s="236">
        <f t="shared" si="120"/>
        <v>2.1908769769419825E-2</v>
      </c>
      <c r="AR81" s="236">
        <f t="shared" si="120"/>
        <v>2.4617352462519778E-2</v>
      </c>
      <c r="AS81" s="236">
        <f t="shared" si="120"/>
        <v>2.7029947892565662E-2</v>
      </c>
      <c r="AT81" s="236">
        <f t="shared" si="120"/>
        <v>2.6285149529715331E-2</v>
      </c>
      <c r="AU81" s="236">
        <f t="shared" si="120"/>
        <v>2.5919909598135435E-2</v>
      </c>
      <c r="AV81" s="236">
        <f t="shared" si="120"/>
        <v>1.7163583956916167E-2</v>
      </c>
      <c r="AW81" s="236">
        <f t="shared" si="120"/>
        <v>1.7628295208998928E-2</v>
      </c>
      <c r="AX81" s="237"/>
      <c r="AY81" s="237"/>
      <c r="AZ81" s="237"/>
      <c r="BA81" s="237"/>
      <c r="BB81" s="237"/>
      <c r="BC81" s="237"/>
      <c r="BD81" s="236"/>
      <c r="BE81" s="236"/>
      <c r="BF81" s="236"/>
      <c r="BH81" s="236"/>
      <c r="BI81" s="236"/>
      <c r="BJ81" s="236"/>
      <c r="BK81" s="236"/>
      <c r="BL81" s="236">
        <f t="shared" ref="BL81:BR81" si="121">BL39/BL62</f>
        <v>7.2767573558231602E-2</v>
      </c>
      <c r="BM81" s="236">
        <f t="shared" si="121"/>
        <v>-1.8957864257220253E-2</v>
      </c>
      <c r="BN81" s="236">
        <f t="shared" si="121"/>
        <v>4.2467349809121686E-3</v>
      </c>
      <c r="BO81" s="236">
        <f t="shared" si="121"/>
        <v>-1.4603694253204809E-3</v>
      </c>
      <c r="BP81" s="236">
        <f t="shared" si="121"/>
        <v>5.8478254583773738E-2</v>
      </c>
      <c r="BQ81" s="236">
        <f t="shared" si="121"/>
        <v>9.1248493323661979E-3</v>
      </c>
      <c r="BR81" s="236">
        <f t="shared" si="121"/>
        <v>9.7282195398768465E-2</v>
      </c>
      <c r="DP81" s="204"/>
    </row>
    <row r="82" spans="3:120" ht="13.5" customHeight="1">
      <c r="C82" s="204" t="s">
        <v>495</v>
      </c>
      <c r="T82" s="236">
        <f t="shared" ref="T82:AW82" si="122">T39/T72</f>
        <v>2.4499442361729757E-2</v>
      </c>
      <c r="U82" s="236">
        <f t="shared" si="122"/>
        <v>3.6958670844131083E-2</v>
      </c>
      <c r="V82" s="236">
        <f t="shared" si="122"/>
        <v>2.4591972005028474E-2</v>
      </c>
      <c r="W82" s="236">
        <f t="shared" si="122"/>
        <v>1.9540251187674339E-2</v>
      </c>
      <c r="X82" s="236">
        <f t="shared" si="122"/>
        <v>3.1058127457146817E-3</v>
      </c>
      <c r="Y82" s="236">
        <f t="shared" si="122"/>
        <v>-1.916037749474055E-2</v>
      </c>
      <c r="Z82" s="236">
        <f t="shared" si="122"/>
        <v>-1.4253395125477644E-2</v>
      </c>
      <c r="AA82" s="236">
        <f t="shared" si="122"/>
        <v>5.7307443852816437E-3</v>
      </c>
      <c r="AB82" s="236">
        <f t="shared" si="122"/>
        <v>1.8189896244413667E-2</v>
      </c>
      <c r="AC82" s="236">
        <f t="shared" si="122"/>
        <v>1.3744178586703451E-2</v>
      </c>
      <c r="AD82" s="236">
        <f t="shared" si="122"/>
        <v>1.2915514539083208E-2</v>
      </c>
      <c r="AE82" s="236">
        <f t="shared" si="122"/>
        <v>-2.5856276214008073E-2</v>
      </c>
      <c r="AF82" s="236">
        <f t="shared" si="122"/>
        <v>7.5054570927609243E-5</v>
      </c>
      <c r="AG82" s="236">
        <f t="shared" si="122"/>
        <v>-3.7772611763735682E-3</v>
      </c>
      <c r="AH82" s="236">
        <f t="shared" si="122"/>
        <v>-2.341458605476552E-3</v>
      </c>
      <c r="AI82" s="236">
        <f t="shared" si="122"/>
        <v>3.8744245928850241E-3</v>
      </c>
      <c r="AJ82" s="236">
        <f t="shared" si="122"/>
        <v>8.3984971726816914E-3</v>
      </c>
      <c r="AK82" s="236">
        <f t="shared" si="122"/>
        <v>1.7908326246574215E-2</v>
      </c>
      <c r="AL82" s="236">
        <f t="shared" si="122"/>
        <v>8.3413486357683496E-3</v>
      </c>
      <c r="AM82" s="236">
        <f t="shared" si="122"/>
        <v>4.588528678304242E-2</v>
      </c>
      <c r="AN82" s="236">
        <f t="shared" si="122"/>
        <v>9.2228617293613462E-3</v>
      </c>
      <c r="AO82" s="236">
        <f t="shared" si="122"/>
        <v>-5.1841537127410513E-2</v>
      </c>
      <c r="AP82" s="236">
        <f t="shared" si="122"/>
        <v>2.6714239142246562E-2</v>
      </c>
      <c r="AQ82" s="236">
        <f t="shared" si="122"/>
        <v>2.9185068435901025E-2</v>
      </c>
      <c r="AR82" s="236">
        <f t="shared" si="122"/>
        <v>3.2338677628986165E-2</v>
      </c>
      <c r="AS82" s="236">
        <f t="shared" si="122"/>
        <v>3.49858959001507E-2</v>
      </c>
      <c r="AT82" s="236">
        <f t="shared" si="122"/>
        <v>3.3746327360940194E-2</v>
      </c>
      <c r="AU82" s="236">
        <f t="shared" si="122"/>
        <v>3.3162580913601289E-2</v>
      </c>
      <c r="AV82" s="236">
        <f t="shared" si="122"/>
        <v>2.2108654292406368E-2</v>
      </c>
      <c r="AW82" s="236">
        <f t="shared" si="122"/>
        <v>2.2740902267230904E-2</v>
      </c>
      <c r="AX82" s="237"/>
      <c r="AY82" s="237"/>
      <c r="AZ82" s="237"/>
      <c r="BA82" s="237"/>
      <c r="BB82" s="237"/>
      <c r="BC82" s="237"/>
      <c r="BD82" s="236"/>
      <c r="BE82" s="236"/>
      <c r="BF82" s="236"/>
      <c r="BH82" s="236"/>
      <c r="BI82" s="236"/>
      <c r="BJ82" s="236"/>
      <c r="BK82" s="236"/>
      <c r="BL82" s="236">
        <f t="shared" ref="BL82:BR82" si="123">BL39/BL72</f>
        <v>9.9783160664973905E-2</v>
      </c>
      <c r="BM82" s="236">
        <f t="shared" si="123"/>
        <v>-2.4462674117418159E-2</v>
      </c>
      <c r="BN82" s="236">
        <f t="shared" si="123"/>
        <v>5.5392079268119735E-3</v>
      </c>
      <c r="BO82" s="236">
        <f t="shared" si="123"/>
        <v>-2.0042888979213188E-3</v>
      </c>
      <c r="BP82" s="236">
        <f t="shared" si="123"/>
        <v>7.7196464620761018E-2</v>
      </c>
      <c r="BQ82" s="236">
        <f t="shared" si="123"/>
        <v>1.2155376821025653E-2</v>
      </c>
      <c r="BR82" s="236">
        <f t="shared" si="123"/>
        <v>0.1244652750099292</v>
      </c>
      <c r="DP82" s="204"/>
    </row>
    <row r="83" spans="3:120" ht="13.5" customHeight="1">
      <c r="AR83" s="204"/>
      <c r="AS83" s="204"/>
      <c r="AT83" s="210"/>
      <c r="AU83" s="204"/>
      <c r="BM83" s="223"/>
      <c r="BN83" s="223"/>
      <c r="BO83" s="223"/>
      <c r="BP83" s="223"/>
      <c r="BQ83" s="223"/>
      <c r="BR83" s="223"/>
      <c r="BS83" s="208"/>
      <c r="DP83" s="204"/>
    </row>
    <row r="84" spans="3:120" ht="13.5" customHeight="1">
      <c r="C84" s="204" t="s">
        <v>1656</v>
      </c>
      <c r="D84" s="223">
        <f t="shared" ref="D84:AW84" si="124">D39</f>
        <v>0.5</v>
      </c>
      <c r="E84" s="223">
        <f t="shared" si="124"/>
        <v>-0.55000000000000027</v>
      </c>
      <c r="F84" s="223">
        <f t="shared" si="124"/>
        <v>0.32000000000000006</v>
      </c>
      <c r="G84" s="223">
        <f t="shared" si="124"/>
        <v>0.75000000000000011</v>
      </c>
      <c r="H84" s="223">
        <f t="shared" si="124"/>
        <v>2.5</v>
      </c>
      <c r="I84" s="223">
        <f t="shared" si="124"/>
        <v>3</v>
      </c>
      <c r="J84" s="223">
        <f t="shared" si="124"/>
        <v>12.200000000000001</v>
      </c>
      <c r="K84" s="223">
        <f t="shared" si="124"/>
        <v>-2.4</v>
      </c>
      <c r="L84" s="223">
        <f t="shared" si="124"/>
        <v>-3.1</v>
      </c>
      <c r="M84" s="223">
        <f t="shared" si="124"/>
        <v>-1.6</v>
      </c>
      <c r="N84" s="223">
        <f t="shared" si="124"/>
        <v>0.2</v>
      </c>
      <c r="O84" s="223">
        <f t="shared" si="124"/>
        <v>9.1</v>
      </c>
      <c r="P84" s="223">
        <f t="shared" si="124"/>
        <v>5.5</v>
      </c>
      <c r="Q84" s="223">
        <f t="shared" si="124"/>
        <v>13.4</v>
      </c>
      <c r="R84" s="223">
        <f t="shared" si="124"/>
        <v>-18.899999999999999</v>
      </c>
      <c r="S84" s="223">
        <f t="shared" si="124"/>
        <v>6.52</v>
      </c>
      <c r="T84" s="223">
        <f t="shared" si="124"/>
        <v>10.698</v>
      </c>
      <c r="U84" s="223">
        <f t="shared" si="124"/>
        <v>16.785999999999987</v>
      </c>
      <c r="V84" s="223">
        <f t="shared" si="124"/>
        <v>11.483000000000001</v>
      </c>
      <c r="W84" s="223">
        <f t="shared" si="124"/>
        <v>9.4890000000000985</v>
      </c>
      <c r="X84" s="223">
        <f t="shared" si="124"/>
        <v>1.5160000000000133</v>
      </c>
      <c r="Y84" s="223">
        <f t="shared" si="124"/>
        <v>-11.940000000000015</v>
      </c>
      <c r="Z84" s="223">
        <f t="shared" si="124"/>
        <v>-8.833000000000002</v>
      </c>
      <c r="AA84" s="223">
        <f t="shared" si="124"/>
        <v>3.6550000000000091</v>
      </c>
      <c r="AB84" s="223">
        <f t="shared" si="124"/>
        <v>11.832000000000003</v>
      </c>
      <c r="AC84" s="223">
        <f t="shared" si="124"/>
        <v>9.2550000000000221</v>
      </c>
      <c r="AD84" s="223">
        <f t="shared" si="124"/>
        <v>8.841999999999981</v>
      </c>
      <c r="AE84" s="223">
        <f t="shared" si="124"/>
        <v>-24.665000000000081</v>
      </c>
      <c r="AF84" s="223">
        <f t="shared" si="124"/>
        <v>7.1999999999997399E-2</v>
      </c>
      <c r="AG84" s="223">
        <f t="shared" si="124"/>
        <v>-3.6640000000000068</v>
      </c>
      <c r="AH84" s="223">
        <f t="shared" si="124"/>
        <v>-2.2800000000000034</v>
      </c>
      <c r="AI84" s="223">
        <f t="shared" si="124"/>
        <v>3.869999999999949</v>
      </c>
      <c r="AJ84" s="223">
        <f t="shared" si="124"/>
        <v>8.6040000000000401</v>
      </c>
      <c r="AK84" s="223">
        <f t="shared" si="124"/>
        <v>19.100000000000001</v>
      </c>
      <c r="AL84" s="223">
        <f t="shared" si="124"/>
        <v>9.2099999999999937</v>
      </c>
      <c r="AM84" s="223">
        <f t="shared" si="124"/>
        <v>54.096000000000032</v>
      </c>
      <c r="AN84" s="223">
        <f t="shared" si="124"/>
        <v>11.099999999999989</v>
      </c>
      <c r="AO84" s="223">
        <f t="shared" si="124"/>
        <v>-60.200000000000038</v>
      </c>
      <c r="AP84" s="223">
        <f t="shared" si="124"/>
        <v>29.500000000000032</v>
      </c>
      <c r="AQ84" s="223">
        <f t="shared" si="124"/>
        <v>33.590000000000003</v>
      </c>
      <c r="AR84" s="223">
        <f t="shared" si="124"/>
        <v>39.222999999999999</v>
      </c>
      <c r="AS84" s="223">
        <f t="shared" si="124"/>
        <v>45.27</v>
      </c>
      <c r="AT84" s="223">
        <f t="shared" si="124"/>
        <v>45.850999999999999</v>
      </c>
      <c r="AU84" s="223">
        <f t="shared" si="124"/>
        <v>47.342999999999947</v>
      </c>
      <c r="AV84" s="223">
        <f t="shared" si="124"/>
        <v>32.58400000000001</v>
      </c>
      <c r="AW84" s="223">
        <f t="shared" si="124"/>
        <v>34.810999999999986</v>
      </c>
      <c r="BH84" s="223">
        <f t="shared" ref="BH84:BQ84" si="125">BH39</f>
        <v>1.02</v>
      </c>
      <c r="BI84" s="223">
        <f t="shared" si="125"/>
        <v>15.300000000000002</v>
      </c>
      <c r="BJ84" s="223">
        <f t="shared" si="125"/>
        <v>4.5999999999999996</v>
      </c>
      <c r="BK84" s="223">
        <f t="shared" si="125"/>
        <v>6.52</v>
      </c>
      <c r="BL84" s="223">
        <f t="shared" si="125"/>
        <v>48.455999999999975</v>
      </c>
      <c r="BM84" s="223">
        <f t="shared" si="125"/>
        <v>-15.601999999999894</v>
      </c>
      <c r="BN84" s="223">
        <f t="shared" si="125"/>
        <v>5.2839999999999652</v>
      </c>
      <c r="BO84" s="223">
        <f t="shared" si="125"/>
        <v>-2.0019999999998928</v>
      </c>
      <c r="BP84" s="223">
        <f t="shared" si="125"/>
        <v>91.01</v>
      </c>
      <c r="BQ84" s="223">
        <f t="shared" si="125"/>
        <v>13.989999999999876</v>
      </c>
      <c r="BR84" s="223">
        <f t="shared" ref="BR84:BR89" si="126">SUM(AR84:AU84)</f>
        <v>177.68699999999995</v>
      </c>
      <c r="DP84" s="204"/>
    </row>
    <row r="85" spans="3:120" s="210" customFormat="1" ht="13.5" customHeight="1">
      <c r="C85" s="210" t="s">
        <v>481</v>
      </c>
      <c r="D85" s="206">
        <v>-2.7</v>
      </c>
      <c r="E85" s="206">
        <v>-5.6</v>
      </c>
      <c r="F85" s="206">
        <v>-4.3</v>
      </c>
      <c r="G85" s="206">
        <v>-8</v>
      </c>
      <c r="H85" s="206">
        <v>-2.1</v>
      </c>
      <c r="I85" s="206">
        <v>-6.1</v>
      </c>
      <c r="J85" s="206">
        <v>5.7</v>
      </c>
      <c r="K85" s="206">
        <v>-10.4</v>
      </c>
      <c r="L85" s="206">
        <v>2.2000000000000002</v>
      </c>
      <c r="M85" s="206">
        <v>0.6</v>
      </c>
      <c r="N85" s="206">
        <v>10.8</v>
      </c>
      <c r="O85" s="206">
        <v>-0.9</v>
      </c>
      <c r="P85" s="206">
        <v>10.7</v>
      </c>
      <c r="Q85" s="206">
        <v>0.1</v>
      </c>
      <c r="R85" s="206">
        <v>10.4</v>
      </c>
      <c r="S85" s="206">
        <v>7.5</v>
      </c>
      <c r="T85" s="206">
        <v>-2.1</v>
      </c>
      <c r="U85" s="206">
        <v>1.9</v>
      </c>
      <c r="V85" s="206">
        <v>22</v>
      </c>
      <c r="W85" s="206">
        <v>4.8</v>
      </c>
      <c r="X85" s="206">
        <v>-5.92</v>
      </c>
      <c r="Y85" s="206">
        <f>-27.609-X85</f>
        <v>-21.689</v>
      </c>
      <c r="Z85" s="206">
        <f>-31.159-SUM(X85:Y85)</f>
        <v>-3.5499999999999972</v>
      </c>
      <c r="AA85" s="206">
        <f>-33.242-SUM(X85:Z85)</f>
        <v>-2.0829999999999984</v>
      </c>
      <c r="AB85" s="206">
        <v>-14.368</v>
      </c>
      <c r="AC85" s="206">
        <f>-17.678-AB85</f>
        <v>-3.3100000000000005</v>
      </c>
      <c r="AD85" s="206">
        <f>18.772-SUM(AB85:AC85)</f>
        <v>36.450000000000003</v>
      </c>
      <c r="AE85" s="206">
        <f>9.502-SUM(AB85:AD85)</f>
        <v>-9.2700000000000014</v>
      </c>
      <c r="AF85" s="206">
        <v>-4.5140000000000002</v>
      </c>
      <c r="AG85" s="206">
        <f>-44.089-AF85</f>
        <v>-39.574999999999996</v>
      </c>
      <c r="AH85" s="206">
        <f>-56.998-SUM(AF85:AG85)</f>
        <v>-12.908999999999999</v>
      </c>
      <c r="AI85" s="206">
        <f>-55.661-SUM(AF85:AH85)</f>
        <v>1.3369999999999962</v>
      </c>
      <c r="AJ85" s="206">
        <v>13.129</v>
      </c>
      <c r="AK85" s="206">
        <f>30.228-AJ85</f>
        <v>17.099000000000004</v>
      </c>
      <c r="AL85" s="206">
        <f>61.072-SUM(AJ85:AK85)</f>
        <v>30.844000000000001</v>
      </c>
      <c r="AM85" s="206">
        <f>97.333-SUM(AJ85:AL85)</f>
        <v>36.260999999999996</v>
      </c>
      <c r="AN85" s="206">
        <v>38.295000000000002</v>
      </c>
      <c r="AO85" s="206">
        <f>60.906-AN85</f>
        <v>22.610999999999997</v>
      </c>
      <c r="AP85" s="206">
        <f>117.373-SUM(AN85:AO85)</f>
        <v>56.467000000000006</v>
      </c>
      <c r="AQ85" s="206">
        <f>168.481-SUM(AN85:AP85)</f>
        <v>51.10799999999999</v>
      </c>
      <c r="AR85" s="206">
        <f>48.97</f>
        <v>48.97</v>
      </c>
      <c r="AS85" s="206">
        <f>93.916-AR85</f>
        <v>44.945999999999998</v>
      </c>
      <c r="AT85" s="206">
        <v>58.262999999999998</v>
      </c>
      <c r="AU85" s="206">
        <f>238.663-SUM(AR85:AT85)</f>
        <v>86.484000000000009</v>
      </c>
      <c r="AV85" s="206">
        <v>86.97</v>
      </c>
      <c r="AW85" s="206">
        <v>46.084000000000003</v>
      </c>
      <c r="AX85" s="208"/>
      <c r="AY85" s="208"/>
      <c r="AZ85" s="208"/>
      <c r="BA85" s="208"/>
      <c r="BB85" s="208"/>
      <c r="BC85" s="208"/>
      <c r="BH85" s="223">
        <f>SUM(D85:G85)</f>
        <v>-20.6</v>
      </c>
      <c r="BI85" s="223">
        <f>SUM(H85:K85)</f>
        <v>-12.899999999999999</v>
      </c>
      <c r="BJ85" s="223">
        <f>SUM(L85:O85)</f>
        <v>12.700000000000001</v>
      </c>
      <c r="BK85" s="223">
        <f>SUM(P85:S85)</f>
        <v>28.7</v>
      </c>
      <c r="BL85" s="223">
        <v>26.652000000000001</v>
      </c>
      <c r="BM85" s="223">
        <f>SUM(X85:AA85)</f>
        <v>-33.241999999999997</v>
      </c>
      <c r="BN85" s="206">
        <f>SUM(AB85:AE85)</f>
        <v>9.5020000000000007</v>
      </c>
      <c r="BO85" s="206">
        <f>SUM(AF85:AI85)</f>
        <v>-55.661000000000001</v>
      </c>
      <c r="BP85" s="206">
        <f>SUM(AJ85:AM85)</f>
        <v>97.332999999999998</v>
      </c>
      <c r="BQ85" s="206">
        <f>SUM(AN85:AQ85)</f>
        <v>168.48099999999999</v>
      </c>
      <c r="BR85" s="206">
        <f t="shared" si="126"/>
        <v>238.66300000000001</v>
      </c>
      <c r="BS85" s="209"/>
      <c r="BT85" s="209"/>
      <c r="BU85" s="209"/>
      <c r="BV85" s="209"/>
      <c r="BW85" s="209"/>
      <c r="BX85" s="209"/>
      <c r="BY85" s="209"/>
      <c r="BZ85" s="209"/>
      <c r="CA85" s="209"/>
      <c r="CC85" s="208"/>
      <c r="CD85" s="208"/>
      <c r="CQ85" s="209"/>
      <c r="CR85" s="208"/>
      <c r="CS85" s="208"/>
      <c r="CT85" s="208"/>
      <c r="CU85" s="208"/>
      <c r="CV85" s="208"/>
      <c r="CW85" s="208"/>
      <c r="CX85" s="208"/>
      <c r="CY85" s="208"/>
      <c r="CZ85" s="208"/>
      <c r="DA85" s="208"/>
      <c r="DB85" s="208"/>
      <c r="DC85" s="208"/>
      <c r="DD85" s="208"/>
      <c r="DE85" s="208"/>
      <c r="DF85" s="208"/>
      <c r="DG85" s="208"/>
      <c r="DH85" s="208"/>
      <c r="DI85" s="208"/>
      <c r="DJ85" s="208"/>
      <c r="DK85" s="208"/>
      <c r="DL85" s="208"/>
      <c r="DM85" s="208"/>
      <c r="DN85" s="208"/>
      <c r="DO85" s="208"/>
    </row>
    <row r="86" spans="3:120" ht="13.5" customHeight="1">
      <c r="C86" s="204" t="s">
        <v>482</v>
      </c>
      <c r="D86" s="223">
        <v>-1.3</v>
      </c>
      <c r="E86" s="223">
        <v>-1.8</v>
      </c>
      <c r="F86" s="223">
        <v>-1.4</v>
      </c>
      <c r="G86" s="223">
        <v>-1</v>
      </c>
      <c r="H86" s="223">
        <v>-1.1000000000000001</v>
      </c>
      <c r="I86" s="223">
        <v>-2.6</v>
      </c>
      <c r="J86" s="223">
        <v>-3.4</v>
      </c>
      <c r="K86" s="223">
        <v>-6.6</v>
      </c>
      <c r="L86" s="223">
        <v>-3.2</v>
      </c>
      <c r="M86" s="223">
        <v>-2.2000000000000002</v>
      </c>
      <c r="N86" s="223">
        <v>-1.4</v>
      </c>
      <c r="O86" s="223">
        <v>-5.7</v>
      </c>
      <c r="P86" s="223">
        <v>-2.8</v>
      </c>
      <c r="Q86" s="223">
        <v>-2.2999999999999998</v>
      </c>
      <c r="R86" s="223">
        <v>-1.5</v>
      </c>
      <c r="S86" s="223">
        <v>-3</v>
      </c>
      <c r="T86" s="223">
        <v>-2.5</v>
      </c>
      <c r="U86" s="223">
        <v>-3.7</v>
      </c>
      <c r="V86" s="223">
        <v>-7.9</v>
      </c>
      <c r="W86" s="223">
        <v>-8</v>
      </c>
      <c r="X86" s="223">
        <v>-10.131</v>
      </c>
      <c r="Y86" s="223">
        <f>-16.85-X86</f>
        <v>-6.7190000000000012</v>
      </c>
      <c r="Z86" s="223">
        <f>-21.003-SUM(X86:Y86)</f>
        <v>-4.1529999999999987</v>
      </c>
      <c r="AA86" s="223">
        <f>-24.756-SUM(X86:Z86)</f>
        <v>-3.7530000000000001</v>
      </c>
      <c r="AB86" s="223">
        <v>-3.9910000000000001</v>
      </c>
      <c r="AC86" s="223">
        <f>-7.286-AB86</f>
        <v>-3.2949999999999995</v>
      </c>
      <c r="AD86" s="223">
        <f>-13.088-SUM(AB86:AC86)</f>
        <v>-5.8019999999999996</v>
      </c>
      <c r="AE86" s="223">
        <f>-21.18-SUM(AB86:AD86)</f>
        <v>-8.0920000000000005</v>
      </c>
      <c r="AF86" s="223">
        <v>-4.9569999999999999</v>
      </c>
      <c r="AG86" s="223">
        <f>-9.388-AF86</f>
        <v>-4.431</v>
      </c>
      <c r="AH86" s="223">
        <f>-15.736-SUM(AF86:AG86)</f>
        <v>-6.3480000000000008</v>
      </c>
      <c r="AI86" s="223">
        <f>-19.298-SUM(AF86:AH86)</f>
        <v>-3.5619999999999976</v>
      </c>
      <c r="AJ86" s="223">
        <v>-3.8940000000000001</v>
      </c>
      <c r="AK86" s="223">
        <f>-8.236-AJ86</f>
        <v>-4.3420000000000005</v>
      </c>
      <c r="AL86" s="223">
        <f>-12.568-SUM(AJ86:AK86)</f>
        <v>-4.331999999999999</v>
      </c>
      <c r="AM86" s="223">
        <f>-16.213-SUM(AJ86:AL86)</f>
        <v>-3.6450000000000014</v>
      </c>
      <c r="AN86" s="223">
        <v>-5.8239999999999998</v>
      </c>
      <c r="AO86" s="223">
        <f>-10.36-AN86</f>
        <v>-4.5359999999999996</v>
      </c>
      <c r="AP86" s="223">
        <f>-15.811-SUM(AN86:AO86)</f>
        <v>-5.4510000000000005</v>
      </c>
      <c r="AQ86" s="223">
        <f>-21.182-SUM(AN86:AP86)</f>
        <v>-5.3709999999999987</v>
      </c>
      <c r="AR86" s="223">
        <f>-13.467</f>
        <v>-13.467000000000001</v>
      </c>
      <c r="AS86" s="223">
        <f>-29.046-AR86</f>
        <v>-15.578999999999999</v>
      </c>
      <c r="AT86" s="223">
        <v>-16.248999999999999</v>
      </c>
      <c r="AU86" s="223">
        <f>-63.729-SUM(AR86:AT86)</f>
        <v>-18.433999999999997</v>
      </c>
      <c r="AV86" s="223">
        <v>-13.670999999999999</v>
      </c>
      <c r="AW86" s="223">
        <v>-13.542</v>
      </c>
      <c r="BH86" s="223">
        <f>SUM(D86:G86)</f>
        <v>-5.5</v>
      </c>
      <c r="BI86" s="223">
        <f>SUM(H86:K86)</f>
        <v>-13.7</v>
      </c>
      <c r="BJ86" s="223">
        <f>SUM(L86:O86)</f>
        <v>-12.5</v>
      </c>
      <c r="BK86" s="223">
        <f>SUM(P86:S86)</f>
        <v>-9.6</v>
      </c>
      <c r="BL86" s="223">
        <v>-22.109000000000002</v>
      </c>
      <c r="BM86" s="223">
        <f>SUM(X86:AA86)</f>
        <v>-24.756</v>
      </c>
      <c r="BN86" s="223">
        <f>SUM(AB86:AE86)</f>
        <v>-21.18</v>
      </c>
      <c r="BO86" s="223">
        <f>SUM(AF86:AI86)</f>
        <v>-19.297999999999998</v>
      </c>
      <c r="BP86" s="223">
        <f>SUM(AJ86:AM86)</f>
        <v>-16.213000000000001</v>
      </c>
      <c r="BQ86" s="223">
        <f>SUM(AN86:AQ86)</f>
        <v>-21.181999999999999</v>
      </c>
      <c r="BR86" s="223">
        <f t="shared" si="126"/>
        <v>-63.728999999999999</v>
      </c>
      <c r="BS86" s="225"/>
      <c r="DP86" s="204"/>
    </row>
    <row r="87" spans="3:120" s="210" customFormat="1" ht="13.5" customHeight="1">
      <c r="C87" s="210" t="s">
        <v>483</v>
      </c>
      <c r="D87" s="206">
        <f t="shared" ref="D87:AP87" si="127">D85+D86</f>
        <v>-4</v>
      </c>
      <c r="E87" s="206">
        <f t="shared" si="127"/>
        <v>-7.3999999999999995</v>
      </c>
      <c r="F87" s="206">
        <f t="shared" si="127"/>
        <v>-5.6999999999999993</v>
      </c>
      <c r="G87" s="206">
        <f t="shared" si="127"/>
        <v>-9</v>
      </c>
      <c r="H87" s="206">
        <f t="shared" si="127"/>
        <v>-3.2</v>
      </c>
      <c r="I87" s="206">
        <f t="shared" si="127"/>
        <v>-8.6999999999999993</v>
      </c>
      <c r="J87" s="206">
        <f t="shared" si="127"/>
        <v>2.3000000000000003</v>
      </c>
      <c r="K87" s="206">
        <f t="shared" si="127"/>
        <v>-17</v>
      </c>
      <c r="L87" s="206">
        <f t="shared" si="127"/>
        <v>-1</v>
      </c>
      <c r="M87" s="206">
        <f t="shared" si="127"/>
        <v>-1.6</v>
      </c>
      <c r="N87" s="206">
        <f t="shared" si="127"/>
        <v>9.4</v>
      </c>
      <c r="O87" s="206">
        <f t="shared" si="127"/>
        <v>-6.6000000000000005</v>
      </c>
      <c r="P87" s="206">
        <f t="shared" si="127"/>
        <v>7.8999999999999995</v>
      </c>
      <c r="Q87" s="206">
        <f t="shared" si="127"/>
        <v>-2.1999999999999997</v>
      </c>
      <c r="R87" s="206">
        <f t="shared" si="127"/>
        <v>8.9</v>
      </c>
      <c r="S87" s="206">
        <f t="shared" si="127"/>
        <v>4.5</v>
      </c>
      <c r="T87" s="206">
        <f t="shared" si="127"/>
        <v>-4.5999999999999996</v>
      </c>
      <c r="U87" s="206">
        <f t="shared" si="127"/>
        <v>-1.8000000000000003</v>
      </c>
      <c r="V87" s="206">
        <f t="shared" si="127"/>
        <v>14.1</v>
      </c>
      <c r="W87" s="206">
        <f t="shared" si="127"/>
        <v>-3.2</v>
      </c>
      <c r="X87" s="206">
        <f t="shared" si="127"/>
        <v>-16.051000000000002</v>
      </c>
      <c r="Y87" s="206">
        <f t="shared" si="127"/>
        <v>-28.408000000000001</v>
      </c>
      <c r="Z87" s="206">
        <f t="shared" si="127"/>
        <v>-7.7029999999999959</v>
      </c>
      <c r="AA87" s="206">
        <f t="shared" si="127"/>
        <v>-5.8359999999999985</v>
      </c>
      <c r="AB87" s="206">
        <f t="shared" si="127"/>
        <v>-18.359000000000002</v>
      </c>
      <c r="AC87" s="206">
        <f t="shared" si="127"/>
        <v>-6.6050000000000004</v>
      </c>
      <c r="AD87" s="206">
        <f t="shared" si="127"/>
        <v>30.648000000000003</v>
      </c>
      <c r="AE87" s="206">
        <f t="shared" si="127"/>
        <v>-17.362000000000002</v>
      </c>
      <c r="AF87" s="206">
        <f t="shared" si="127"/>
        <v>-9.4710000000000001</v>
      </c>
      <c r="AG87" s="206">
        <f t="shared" si="127"/>
        <v>-44.005999999999993</v>
      </c>
      <c r="AH87" s="206">
        <f t="shared" si="127"/>
        <v>-19.256999999999998</v>
      </c>
      <c r="AI87" s="206">
        <f t="shared" si="127"/>
        <v>-2.2250000000000014</v>
      </c>
      <c r="AJ87" s="206">
        <f t="shared" si="127"/>
        <v>9.2349999999999994</v>
      </c>
      <c r="AK87" s="206">
        <f t="shared" si="127"/>
        <v>12.757000000000003</v>
      </c>
      <c r="AL87" s="206">
        <f t="shared" si="127"/>
        <v>26.512</v>
      </c>
      <c r="AM87" s="206">
        <f t="shared" si="127"/>
        <v>32.615999999999993</v>
      </c>
      <c r="AN87" s="206">
        <f t="shared" si="127"/>
        <v>32.471000000000004</v>
      </c>
      <c r="AO87" s="206">
        <f t="shared" si="127"/>
        <v>18.074999999999996</v>
      </c>
      <c r="AP87" s="206">
        <f t="shared" si="127"/>
        <v>51.016000000000005</v>
      </c>
      <c r="AQ87" s="206">
        <f>AQ85+AQ86</f>
        <v>45.736999999999995</v>
      </c>
      <c r="AR87" s="206">
        <f t="shared" ref="AR87:AT87" si="128">AR85+AR86</f>
        <v>35.503</v>
      </c>
      <c r="AS87" s="206">
        <f t="shared" si="128"/>
        <v>29.366999999999997</v>
      </c>
      <c r="AT87" s="206">
        <f t="shared" si="128"/>
        <v>42.013999999999996</v>
      </c>
      <c r="AU87" s="206">
        <f>AU85+AU86</f>
        <v>68.050000000000011</v>
      </c>
      <c r="AV87" s="206">
        <f>AV85+AV86</f>
        <v>73.299000000000007</v>
      </c>
      <c r="AW87" s="206">
        <f>AW85+AW86</f>
        <v>32.542000000000002</v>
      </c>
      <c r="AX87" s="208"/>
      <c r="AY87" s="208"/>
      <c r="AZ87" s="208"/>
      <c r="BA87" s="208"/>
      <c r="BB87" s="208"/>
      <c r="BC87" s="208"/>
      <c r="BH87" s="206">
        <f t="shared" ref="BH87:BQ87" si="129">BH85+BH86</f>
        <v>-26.1</v>
      </c>
      <c r="BI87" s="206">
        <f t="shared" si="129"/>
        <v>-26.599999999999998</v>
      </c>
      <c r="BJ87" s="206">
        <f t="shared" si="129"/>
        <v>0.20000000000000107</v>
      </c>
      <c r="BK87" s="206">
        <f t="shared" si="129"/>
        <v>19.100000000000001</v>
      </c>
      <c r="BL87" s="206">
        <f t="shared" si="129"/>
        <v>4.5429999999999993</v>
      </c>
      <c r="BM87" s="206">
        <f t="shared" si="129"/>
        <v>-57.997999999999998</v>
      </c>
      <c r="BN87" s="206">
        <f t="shared" si="129"/>
        <v>-11.677999999999999</v>
      </c>
      <c r="BO87" s="206">
        <f t="shared" si="129"/>
        <v>-74.959000000000003</v>
      </c>
      <c r="BP87" s="206">
        <f t="shared" si="129"/>
        <v>81.12</v>
      </c>
      <c r="BQ87" s="206">
        <f t="shared" si="129"/>
        <v>147.29900000000001</v>
      </c>
      <c r="BR87" s="206">
        <f t="shared" si="126"/>
        <v>174.93400000000003</v>
      </c>
      <c r="BS87" s="209"/>
      <c r="BT87" s="209"/>
      <c r="BU87" s="209"/>
      <c r="BV87" s="209"/>
      <c r="BW87" s="209"/>
      <c r="BX87" s="209"/>
      <c r="BY87" s="209"/>
      <c r="BZ87" s="209"/>
      <c r="CA87" s="209"/>
      <c r="CC87" s="208"/>
      <c r="CD87" s="208"/>
      <c r="CQ87" s="209"/>
      <c r="CR87" s="208"/>
      <c r="CS87" s="208"/>
      <c r="CT87" s="208"/>
      <c r="CU87" s="208"/>
      <c r="CV87" s="208"/>
      <c r="CW87" s="208"/>
      <c r="CX87" s="208"/>
      <c r="CY87" s="208"/>
      <c r="CZ87" s="208"/>
      <c r="DA87" s="208"/>
      <c r="DB87" s="208"/>
      <c r="DC87" s="208"/>
      <c r="DD87" s="208"/>
      <c r="DE87" s="208"/>
      <c r="DF87" s="208"/>
      <c r="DG87" s="208"/>
      <c r="DH87" s="208"/>
      <c r="DI87" s="208"/>
      <c r="DJ87" s="208"/>
      <c r="DK87" s="208"/>
      <c r="DL87" s="208"/>
      <c r="DM87" s="208"/>
      <c r="DN87" s="208"/>
      <c r="DO87" s="208"/>
    </row>
    <row r="88" spans="3:120" ht="13.5" customHeight="1">
      <c r="C88" s="204" t="s">
        <v>295</v>
      </c>
      <c r="D88" s="223">
        <f t="shared" ref="D88:AW88" si="130">D40</f>
        <v>5</v>
      </c>
      <c r="E88" s="223">
        <f t="shared" si="130"/>
        <v>5</v>
      </c>
      <c r="F88" s="223">
        <f t="shared" si="130"/>
        <v>8</v>
      </c>
      <c r="G88" s="223">
        <f t="shared" si="130"/>
        <v>12</v>
      </c>
      <c r="H88" s="223">
        <f t="shared" si="130"/>
        <v>30</v>
      </c>
      <c r="I88" s="223">
        <f t="shared" si="130"/>
        <v>30</v>
      </c>
      <c r="J88" s="223">
        <f t="shared" si="130"/>
        <v>31</v>
      </c>
      <c r="K88" s="223">
        <f t="shared" si="130"/>
        <v>30</v>
      </c>
      <c r="L88" s="223">
        <f t="shared" si="130"/>
        <v>32</v>
      </c>
      <c r="M88" s="223">
        <f t="shared" si="130"/>
        <v>33</v>
      </c>
      <c r="N88" s="223">
        <f t="shared" si="130"/>
        <v>33</v>
      </c>
      <c r="O88" s="223">
        <f t="shared" si="130"/>
        <v>33</v>
      </c>
      <c r="P88" s="223">
        <f t="shared" si="130"/>
        <v>34</v>
      </c>
      <c r="Q88" s="223">
        <f t="shared" si="130"/>
        <v>34</v>
      </c>
      <c r="R88" s="223">
        <f t="shared" si="130"/>
        <v>34</v>
      </c>
      <c r="S88" s="223">
        <f t="shared" si="130"/>
        <v>34</v>
      </c>
      <c r="T88" s="223">
        <f t="shared" si="130"/>
        <v>34.506999999999998</v>
      </c>
      <c r="U88" s="223">
        <f t="shared" si="130"/>
        <v>34.694000000000003</v>
      </c>
      <c r="V88" s="223">
        <f t="shared" si="130"/>
        <v>34.840000000000003</v>
      </c>
      <c r="W88" s="223">
        <f t="shared" si="130"/>
        <v>35</v>
      </c>
      <c r="X88" s="223">
        <f t="shared" si="130"/>
        <v>35</v>
      </c>
      <c r="Y88" s="223">
        <f t="shared" si="130"/>
        <v>35.4</v>
      </c>
      <c r="Z88" s="223">
        <f t="shared" si="130"/>
        <v>36.207000000000001</v>
      </c>
      <c r="AA88" s="223">
        <f t="shared" si="130"/>
        <v>37.651000000000003</v>
      </c>
      <c r="AB88" s="223">
        <f t="shared" si="130"/>
        <v>36.454999999999998</v>
      </c>
      <c r="AC88" s="223">
        <f t="shared" si="130"/>
        <v>36.523000000000003</v>
      </c>
      <c r="AD88" s="223">
        <f t="shared" si="130"/>
        <v>36.616999999999997</v>
      </c>
      <c r="AE88" s="223">
        <f t="shared" si="130"/>
        <v>36.700000000000003</v>
      </c>
      <c r="AF88" s="223">
        <f t="shared" si="130"/>
        <v>37.646000000000001</v>
      </c>
      <c r="AG88" s="223">
        <f t="shared" si="130"/>
        <v>37.767000000000003</v>
      </c>
      <c r="AH88" s="223">
        <f t="shared" si="130"/>
        <v>37.917999999999999</v>
      </c>
      <c r="AI88" s="223">
        <f t="shared" si="130"/>
        <v>37.841000000000001</v>
      </c>
      <c r="AJ88" s="223">
        <f t="shared" si="130"/>
        <v>39.07</v>
      </c>
      <c r="AK88" s="223">
        <f t="shared" si="130"/>
        <v>38.15</v>
      </c>
      <c r="AL88" s="223">
        <f t="shared" si="130"/>
        <v>38.956000000000003</v>
      </c>
      <c r="AM88" s="223">
        <f t="shared" si="130"/>
        <v>38.4</v>
      </c>
      <c r="AN88" s="223">
        <f t="shared" si="130"/>
        <v>39.299999999999997</v>
      </c>
      <c r="AO88" s="223">
        <f t="shared" si="130"/>
        <v>38.799999999999997</v>
      </c>
      <c r="AP88" s="223">
        <f t="shared" si="130"/>
        <v>38.6</v>
      </c>
      <c r="AQ88" s="223">
        <f t="shared" si="130"/>
        <v>38.630000000000003</v>
      </c>
      <c r="AR88" s="223">
        <f t="shared" si="130"/>
        <v>38.561999999999998</v>
      </c>
      <c r="AS88" s="223">
        <f t="shared" si="130"/>
        <v>38.834000000000003</v>
      </c>
      <c r="AT88" s="223">
        <f t="shared" si="130"/>
        <v>39.078000000000003</v>
      </c>
      <c r="AU88" s="223">
        <f t="shared" si="130"/>
        <v>38.630000000000003</v>
      </c>
      <c r="AV88" s="223">
        <f t="shared" si="130"/>
        <v>39.274999999999999</v>
      </c>
      <c r="AW88" s="223">
        <f t="shared" si="130"/>
        <v>39.353000000000002</v>
      </c>
      <c r="BH88" s="223">
        <f t="shared" ref="BH88:BQ88" si="131">BH40</f>
        <v>12</v>
      </c>
      <c r="BI88" s="223">
        <f t="shared" si="131"/>
        <v>31</v>
      </c>
      <c r="BJ88" s="223">
        <f t="shared" si="131"/>
        <v>33</v>
      </c>
      <c r="BK88" s="223">
        <f t="shared" si="131"/>
        <v>34</v>
      </c>
      <c r="BL88" s="223">
        <f t="shared" si="131"/>
        <v>34.799999999999997</v>
      </c>
      <c r="BM88" s="223">
        <f t="shared" si="131"/>
        <v>35.5</v>
      </c>
      <c r="BN88" s="223">
        <f t="shared" si="131"/>
        <v>36.700000000000003</v>
      </c>
      <c r="BO88" s="223">
        <f t="shared" si="131"/>
        <v>37.841000000000001</v>
      </c>
      <c r="BP88" s="223">
        <f t="shared" si="131"/>
        <v>38.4</v>
      </c>
      <c r="BQ88" s="223">
        <f t="shared" si="131"/>
        <v>38.630000000000003</v>
      </c>
      <c r="BR88" s="223">
        <f>AVERAGE(AR88:AU88)</f>
        <v>38.776000000000003</v>
      </c>
      <c r="DP88" s="204"/>
    </row>
    <row r="89" spans="3:120" ht="13.5" customHeight="1">
      <c r="C89" s="204" t="s">
        <v>484</v>
      </c>
      <c r="D89" s="226">
        <f t="shared" ref="D89:AP89" si="132">D87/D88</f>
        <v>-0.8</v>
      </c>
      <c r="E89" s="226">
        <f t="shared" si="132"/>
        <v>-1.48</v>
      </c>
      <c r="F89" s="226">
        <f t="shared" si="132"/>
        <v>-0.71249999999999991</v>
      </c>
      <c r="G89" s="226">
        <f t="shared" si="132"/>
        <v>-0.75</v>
      </c>
      <c r="H89" s="226">
        <f t="shared" si="132"/>
        <v>-0.10666666666666667</v>
      </c>
      <c r="I89" s="226">
        <f t="shared" si="132"/>
        <v>-0.28999999999999998</v>
      </c>
      <c r="J89" s="226">
        <f t="shared" si="132"/>
        <v>7.4193548387096783E-2</v>
      </c>
      <c r="K89" s="226">
        <f t="shared" si="132"/>
        <v>-0.56666666666666665</v>
      </c>
      <c r="L89" s="226">
        <f t="shared" si="132"/>
        <v>-3.125E-2</v>
      </c>
      <c r="M89" s="226">
        <f t="shared" si="132"/>
        <v>-4.8484848484848485E-2</v>
      </c>
      <c r="N89" s="226">
        <f t="shared" si="132"/>
        <v>0.28484848484848485</v>
      </c>
      <c r="O89" s="226">
        <f t="shared" si="132"/>
        <v>-0.2</v>
      </c>
      <c r="P89" s="226">
        <f t="shared" si="132"/>
        <v>0.23235294117647057</v>
      </c>
      <c r="Q89" s="226">
        <f t="shared" si="132"/>
        <v>-6.4705882352941169E-2</v>
      </c>
      <c r="R89" s="226">
        <f t="shared" si="132"/>
        <v>0.26176470588235295</v>
      </c>
      <c r="S89" s="226">
        <f t="shared" si="132"/>
        <v>0.13235294117647059</v>
      </c>
      <c r="T89" s="226">
        <f t="shared" si="132"/>
        <v>-0.13330628568116615</v>
      </c>
      <c r="U89" s="226">
        <f t="shared" si="132"/>
        <v>-5.1882169827635903E-2</v>
      </c>
      <c r="V89" s="226">
        <f t="shared" si="132"/>
        <v>0.40470723306544198</v>
      </c>
      <c r="W89" s="226">
        <f t="shared" si="132"/>
        <v>-9.1428571428571428E-2</v>
      </c>
      <c r="X89" s="226">
        <f t="shared" si="132"/>
        <v>-0.45860000000000006</v>
      </c>
      <c r="Y89" s="226">
        <f t="shared" si="132"/>
        <v>-0.80248587570621477</v>
      </c>
      <c r="Z89" s="226">
        <f t="shared" si="132"/>
        <v>-0.2127489159554781</v>
      </c>
      <c r="AA89" s="226">
        <f t="shared" si="132"/>
        <v>-0.15500252317335525</v>
      </c>
      <c r="AB89" s="226">
        <f t="shared" si="132"/>
        <v>-0.50360718694280626</v>
      </c>
      <c r="AC89" s="226">
        <f t="shared" si="132"/>
        <v>-0.18084494701968623</v>
      </c>
      <c r="AD89" s="226">
        <f t="shared" si="132"/>
        <v>0.83698828413032211</v>
      </c>
      <c r="AE89" s="226">
        <f t="shared" si="132"/>
        <v>-0.47307901907356947</v>
      </c>
      <c r="AF89" s="226">
        <f t="shared" si="132"/>
        <v>-0.25158051320193381</v>
      </c>
      <c r="AG89" s="226">
        <f t="shared" si="132"/>
        <v>-1.1651971297693751</v>
      </c>
      <c r="AH89" s="226">
        <f t="shared" si="132"/>
        <v>-0.50785906429664007</v>
      </c>
      <c r="AI89" s="226">
        <f t="shared" si="132"/>
        <v>-5.8798657540762703E-2</v>
      </c>
      <c r="AJ89" s="226">
        <f t="shared" si="132"/>
        <v>0.23637061684156641</v>
      </c>
      <c r="AK89" s="226">
        <f t="shared" si="132"/>
        <v>0.33439056356487556</v>
      </c>
      <c r="AL89" s="226">
        <f t="shared" si="132"/>
        <v>0.68056268610740323</v>
      </c>
      <c r="AM89" s="226">
        <f t="shared" si="132"/>
        <v>0.84937499999999988</v>
      </c>
      <c r="AN89" s="226">
        <f t="shared" si="132"/>
        <v>0.82623409669211212</v>
      </c>
      <c r="AO89" s="226">
        <f t="shared" si="132"/>
        <v>0.46585051546391743</v>
      </c>
      <c r="AP89" s="226">
        <f t="shared" si="132"/>
        <v>1.321658031088083</v>
      </c>
      <c r="AQ89" s="226">
        <f>AQ87/AQ88</f>
        <v>1.1839761843127101</v>
      </c>
      <c r="AR89" s="226">
        <f t="shared" ref="AR89:AT89" si="133">AR87/AR88</f>
        <v>0.9206732015974276</v>
      </c>
      <c r="AS89" s="226">
        <f t="shared" si="133"/>
        <v>0.75621877736004517</v>
      </c>
      <c r="AT89" s="226">
        <f t="shared" si="133"/>
        <v>1.0751317877066378</v>
      </c>
      <c r="AU89" s="226">
        <f>AU87/AU88</f>
        <v>1.7615842609370957</v>
      </c>
      <c r="AV89" s="226">
        <f>AV87/AV88</f>
        <v>1.8663017186505413</v>
      </c>
      <c r="AW89" s="226">
        <f>AW87/AW88</f>
        <v>0.8269255202907021</v>
      </c>
      <c r="BH89" s="226">
        <f t="shared" ref="BH89:BP89" si="134">BH87/BH88</f>
        <v>-2.1750000000000003</v>
      </c>
      <c r="BI89" s="226">
        <f t="shared" si="134"/>
        <v>-0.85806451612903223</v>
      </c>
      <c r="BJ89" s="226">
        <f t="shared" si="134"/>
        <v>6.0606060606060927E-3</v>
      </c>
      <c r="BK89" s="226">
        <f t="shared" si="134"/>
        <v>0.56176470588235294</v>
      </c>
      <c r="BL89" s="226">
        <f t="shared" si="134"/>
        <v>0.13054597701149423</v>
      </c>
      <c r="BM89" s="226">
        <f t="shared" si="134"/>
        <v>-1.6337464788732394</v>
      </c>
      <c r="BN89" s="226">
        <f t="shared" si="134"/>
        <v>-0.31820163487738412</v>
      </c>
      <c r="BO89" s="226">
        <f t="shared" si="134"/>
        <v>-1.9808937395946196</v>
      </c>
      <c r="BP89" s="226">
        <f t="shared" si="134"/>
        <v>2.1125000000000003</v>
      </c>
      <c r="BQ89" s="226">
        <f>BQ87/BQ88</f>
        <v>3.8130727413926997</v>
      </c>
      <c r="BR89" s="226">
        <f t="shared" si="126"/>
        <v>4.5136080276012063</v>
      </c>
      <c r="DP89" s="204"/>
    </row>
    <row r="96" spans="3:120" ht="13.5" customHeight="1">
      <c r="BT96" s="208"/>
      <c r="BU96" s="208"/>
      <c r="BV96" s="208"/>
    </row>
    <row r="97" spans="72:80" ht="13.5" customHeight="1">
      <c r="BT97" s="210"/>
      <c r="BU97" s="210"/>
      <c r="BV97" s="210"/>
      <c r="BW97" s="210"/>
      <c r="BX97" s="208"/>
      <c r="BY97" s="210"/>
      <c r="BZ97" s="210"/>
      <c r="CA97" s="210"/>
      <c r="CB97" s="210"/>
    </row>
    <row r="98" spans="72:80" ht="13.5" customHeight="1">
      <c r="BY98" s="208"/>
      <c r="BZ98" s="208"/>
      <c r="CA98" s="208"/>
      <c r="CB98" s="208"/>
    </row>
    <row r="99" spans="72:80" ht="13.5" customHeight="1">
      <c r="BT99" s="208"/>
      <c r="BU99" s="208"/>
      <c r="BV99" s="208"/>
      <c r="BW99" s="208"/>
      <c r="BX99" s="208"/>
    </row>
    <row r="100" spans="72:80" ht="13.5" customHeight="1">
      <c r="BT100" s="210"/>
      <c r="BV100" s="210"/>
      <c r="BW100" s="210"/>
      <c r="BY100" s="208"/>
      <c r="BZ100" s="208"/>
      <c r="CA100" s="208"/>
      <c r="CB100" s="208"/>
    </row>
    <row r="101" spans="72:80" ht="13.5" customHeight="1">
      <c r="BT101" s="208"/>
    </row>
  </sheetData>
  <mergeCells count="1">
    <mergeCell ref="CA65:CB65"/>
  </mergeCells>
  <conditionalFormatting sqref="CA65:CB65">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Sell",CA65)))</formula>
    </cfRule>
    <cfRule type="containsText" dxfId="3" priority="3" operator="containsText" text="Sell">
      <formula>NOT(ISERROR(SEARCH("Sell",CA65)))</formula>
    </cfRule>
    <cfRule type="containsText" dxfId="2" priority="4" operator="containsText" text="Hold">
      <formula>NOT(ISERROR(SEARCH("Hold",CA65)))</formula>
    </cfRule>
    <cfRule type="beginsWith" dxfId="1" priority="5" operator="beginsWith" text="Buy">
      <formula>LEFT(CA65,LEN("Buy"))="Buy"</formula>
    </cfRule>
    <cfRule type="beginsWith" dxfId="0" priority="6" operator="beginsWith" text="Strong">
      <formula>LEFT(CA65,LEN("Strong"))="Strong"</formula>
    </cfRule>
  </conditionalFormatting>
  <pageMargins left="0.7" right="0.7" top="0.75" bottom="0.75" header="0.3" footer="0.3"/>
  <ignoredErrors>
    <ignoredError sqref="BH28:BK38 BS26:BS32 BS35:BS41 BH85:BK87 BH39:BQ41 BH26:BQ27" formulaRange="1"/>
    <ignoredError sqref="BL28:BQ38 BS33" formula="1" formulaRange="1"/>
    <ignoredError sqref="AU26" formula="1"/>
  </ignoredErrors>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27F89-7369-4878-B50B-80E6AE0FDF66}">
  <sheetPr>
    <tabColor rgb="FF92D050"/>
  </sheetPr>
  <dimension ref="A1:EA1396"/>
  <sheetViews>
    <sheetView topLeftCell="Q238" zoomScale="70" zoomScaleNormal="70" workbookViewId="0">
      <selection activeCell="AK142" sqref="AK142"/>
    </sheetView>
  </sheetViews>
  <sheetFormatPr defaultColWidth="9.140625" defaultRowHeight="14.25" customHeight="1"/>
  <cols>
    <col min="1" max="1" width="3.42578125" style="2" hidden="1" customWidth="1"/>
    <col min="2" max="8" width="9.140625" style="2" hidden="1" customWidth="1"/>
    <col min="9" max="9" width="3.5703125" style="2" hidden="1" customWidth="1"/>
    <col min="10" max="16" width="9.140625" style="2" hidden="1" customWidth="1"/>
    <col min="17" max="17" width="3" style="2" customWidth="1"/>
    <col min="18" max="22" width="9.140625" style="2"/>
    <col min="23" max="23" width="9.140625" style="2" customWidth="1"/>
    <col min="24" max="24" width="9.140625" style="2"/>
    <col min="25" max="25" width="9" style="2" customWidth="1"/>
    <col min="26" max="27" width="9.140625" style="2" customWidth="1"/>
    <col min="28" max="39" width="9.140625" style="2"/>
    <col min="40" max="40" width="3.140625" style="2" customWidth="1"/>
    <col min="41" max="52" width="9.140625" style="2"/>
    <col min="53" max="53" width="9" style="2" customWidth="1"/>
    <col min="54" max="63" width="9.140625" style="2"/>
    <col min="64" max="64" width="9.140625" style="2" customWidth="1"/>
    <col min="65" max="90" width="9.140625" style="2"/>
    <col min="91" max="91" width="2.85546875" style="2" customWidth="1"/>
    <col min="92" max="16384" width="9.140625" style="2"/>
  </cols>
  <sheetData>
    <row r="1" spans="17:131" ht="14.25" customHeight="1">
      <c r="EA1" s="2" t="s">
        <v>322</v>
      </c>
    </row>
    <row r="2" spans="17:131" ht="14.25" customHeight="1">
      <c r="Q2" s="1" t="s">
        <v>1573</v>
      </c>
      <c r="AN2" s="1" t="s">
        <v>596</v>
      </c>
      <c r="CM2" s="1" t="s">
        <v>634</v>
      </c>
    </row>
    <row r="3" spans="17:131" ht="14.25" customHeight="1">
      <c r="AO3" s="2" t="s">
        <v>1787</v>
      </c>
    </row>
    <row r="4" spans="17:131" ht="14.25" customHeight="1">
      <c r="AP4" s="2" t="s">
        <v>1788</v>
      </c>
    </row>
    <row r="5" spans="17:131" ht="14.25" customHeight="1">
      <c r="AO5" s="2" t="s">
        <v>511</v>
      </c>
    </row>
    <row r="6" spans="17:131" ht="14.25" customHeight="1">
      <c r="AP6" s="2" t="s">
        <v>1898</v>
      </c>
    </row>
    <row r="7" spans="17:131" ht="14.25" customHeight="1">
      <c r="AQ7" s="2" t="s">
        <v>1964</v>
      </c>
    </row>
    <row r="8" spans="17:131" ht="14.25" customHeight="1">
      <c r="AQ8" s="2" t="s">
        <v>1965</v>
      </c>
    </row>
    <row r="9" spans="17:131" ht="14.25" customHeight="1">
      <c r="AO9" s="2" t="s">
        <v>1604</v>
      </c>
    </row>
    <row r="10" spans="17:131" ht="14.25" customHeight="1">
      <c r="AP10" s="2" t="s">
        <v>2058</v>
      </c>
    </row>
    <row r="11" spans="17:131" ht="14.25" customHeight="1">
      <c r="AO11" s="2" t="s">
        <v>1605</v>
      </c>
      <c r="AR11" s="2" t="s">
        <v>1606</v>
      </c>
    </row>
    <row r="12" spans="17:131" ht="14.25" customHeight="1">
      <c r="AP12" s="2" t="s">
        <v>1609</v>
      </c>
      <c r="AT12" s="2" t="s">
        <v>1607</v>
      </c>
    </row>
    <row r="13" spans="17:131" ht="14.25" customHeight="1">
      <c r="AP13" s="2" t="s">
        <v>1610</v>
      </c>
      <c r="AT13" s="2" t="s">
        <v>1608</v>
      </c>
    </row>
    <row r="14" spans="17:131" ht="14.25" customHeight="1">
      <c r="AP14" s="2" t="s">
        <v>1827</v>
      </c>
    </row>
    <row r="15" spans="17:131" ht="14.25" customHeight="1">
      <c r="AQ15" s="2" t="s">
        <v>1828</v>
      </c>
    </row>
    <row r="16" spans="17:131" ht="14.25" customHeight="1">
      <c r="AO16" s="1" t="s">
        <v>1967</v>
      </c>
    </row>
    <row r="18" spans="18:54" ht="14.25" customHeight="1">
      <c r="AO18" s="1" t="s">
        <v>1899</v>
      </c>
      <c r="AW18" s="1" t="s">
        <v>651</v>
      </c>
    </row>
    <row r="19" spans="18:54" ht="14.25" customHeight="1">
      <c r="AO19" s="48"/>
      <c r="AP19" s="45" t="s">
        <v>427</v>
      </c>
      <c r="AQ19" s="48"/>
      <c r="AW19" s="2" t="s">
        <v>1875</v>
      </c>
    </row>
    <row r="20" spans="18:54" ht="14.25" customHeight="1">
      <c r="AO20" s="48"/>
      <c r="AP20" s="48"/>
      <c r="AQ20" s="45" t="s">
        <v>513</v>
      </c>
      <c r="AW20" s="2" t="s">
        <v>407</v>
      </c>
      <c r="BB20" s="2" t="s">
        <v>2059</v>
      </c>
    </row>
    <row r="21" spans="18:54" ht="14.25" customHeight="1">
      <c r="AO21" s="48"/>
      <c r="AP21" s="48"/>
      <c r="AQ21" s="45" t="s">
        <v>512</v>
      </c>
      <c r="AW21" s="2" t="s">
        <v>507</v>
      </c>
      <c r="BB21" s="2" t="s">
        <v>2060</v>
      </c>
    </row>
    <row r="22" spans="18:54" ht="14.25" customHeight="1">
      <c r="AO22" s="1" t="s">
        <v>1900</v>
      </c>
    </row>
    <row r="23" spans="18:54" ht="14.25" customHeight="1">
      <c r="AO23" s="48"/>
      <c r="AP23" s="45" t="s">
        <v>1901</v>
      </c>
      <c r="AQ23" s="48"/>
      <c r="AW23" s="2" t="s">
        <v>1903</v>
      </c>
    </row>
    <row r="24" spans="18:54" ht="14.25" customHeight="1">
      <c r="AO24" s="48"/>
      <c r="AP24" s="48"/>
      <c r="AQ24" s="45" t="s">
        <v>1902</v>
      </c>
      <c r="AW24" s="2" t="s">
        <v>1904</v>
      </c>
    </row>
    <row r="25" spans="18:54" ht="14.25" customHeight="1">
      <c r="AO25" s="48"/>
      <c r="AP25" s="45" t="s">
        <v>1896</v>
      </c>
      <c r="AW25" s="2" t="s">
        <v>1905</v>
      </c>
    </row>
    <row r="26" spans="18:54" ht="14.25" customHeight="1">
      <c r="AQ26" s="45" t="s">
        <v>1738</v>
      </c>
      <c r="AW26" s="2" t="s">
        <v>1906</v>
      </c>
    </row>
    <row r="27" spans="18:54" ht="14.25" customHeight="1">
      <c r="AP27" s="45" t="s">
        <v>2245</v>
      </c>
      <c r="AW27" s="2" t="s">
        <v>2088</v>
      </c>
    </row>
    <row r="31" spans="18:54" ht="14.25" customHeight="1">
      <c r="R31" s="2" t="s">
        <v>1688</v>
      </c>
      <c r="S31" s="2" t="s">
        <v>2038</v>
      </c>
    </row>
    <row r="32" spans="18:54" ht="14.25" customHeight="1">
      <c r="T32" s="2" t="s">
        <v>2074</v>
      </c>
    </row>
    <row r="33" spans="17:52" ht="14.25" customHeight="1">
      <c r="S33" s="2" t="s">
        <v>2127</v>
      </c>
    </row>
    <row r="34" spans="17:52" ht="14.25" customHeight="1">
      <c r="S34" s="2" t="s">
        <v>2292</v>
      </c>
    </row>
    <row r="35" spans="17:52" ht="14.25" customHeight="1">
      <c r="T35" s="2" t="s">
        <v>2224</v>
      </c>
    </row>
    <row r="37" spans="17:52" ht="14.25" customHeight="1">
      <c r="Q37" s="148" t="s">
        <v>485</v>
      </c>
      <c r="AN37" s="1" t="s">
        <v>597</v>
      </c>
      <c r="AY37" s="1" t="s">
        <v>620</v>
      </c>
    </row>
    <row r="38" spans="17:52" ht="14.25" customHeight="1">
      <c r="AO38" s="1" t="s">
        <v>582</v>
      </c>
      <c r="AZ38" s="2" t="s">
        <v>1697</v>
      </c>
    </row>
    <row r="62" spans="41:41" ht="14.25" customHeight="1">
      <c r="AO62" s="2" t="s">
        <v>2086</v>
      </c>
    </row>
    <row r="63" spans="41:41" ht="14.25" customHeight="1">
      <c r="AO63" s="2" t="s">
        <v>2087</v>
      </c>
    </row>
    <row r="64" spans="41:41" ht="14.25" customHeight="1">
      <c r="AO64" s="2" t="s">
        <v>2090</v>
      </c>
    </row>
    <row r="65" spans="17:72" ht="14.25" customHeight="1">
      <c r="AP65" s="2" t="s">
        <v>1972</v>
      </c>
    </row>
    <row r="66" spans="17:72" ht="14.25" customHeight="1">
      <c r="AQ66" s="2" t="s">
        <v>2089</v>
      </c>
    </row>
    <row r="67" spans="17:72" ht="14.25" customHeight="1">
      <c r="AQ67" s="2" t="s">
        <v>2273</v>
      </c>
    </row>
    <row r="68" spans="17:72" ht="14.25" customHeight="1">
      <c r="R68" s="2" t="s">
        <v>1688</v>
      </c>
      <c r="S68" s="2" t="s">
        <v>2326</v>
      </c>
      <c r="AQ68" s="2" t="s">
        <v>1988</v>
      </c>
    </row>
    <row r="69" spans="17:72" ht="14.25" customHeight="1">
      <c r="T69" s="2" t="s">
        <v>2327</v>
      </c>
      <c r="AR69" s="2" t="s">
        <v>2065</v>
      </c>
    </row>
    <row r="70" spans="17:72" ht="14.25" customHeight="1">
      <c r="S70" s="2" t="s">
        <v>1690</v>
      </c>
      <c r="AS70" s="2" t="s">
        <v>2277</v>
      </c>
      <c r="BT70" s="45" t="s">
        <v>2276</v>
      </c>
    </row>
    <row r="71" spans="17:72" ht="14.25" customHeight="1">
      <c r="S71" s="2" t="s">
        <v>1691</v>
      </c>
      <c r="AS71" s="2" t="s">
        <v>2274</v>
      </c>
      <c r="BO71" s="45" t="s">
        <v>2275</v>
      </c>
    </row>
    <row r="72" spans="17:72" ht="14.25" customHeight="1">
      <c r="AS72" s="2" t="s">
        <v>2365</v>
      </c>
      <c r="BO72" s="45"/>
    </row>
    <row r="73" spans="17:72" ht="14.25" customHeight="1">
      <c r="Q73" s="1" t="s">
        <v>1620</v>
      </c>
      <c r="AO73" s="1" t="s">
        <v>2284</v>
      </c>
      <c r="BO73" s="45"/>
    </row>
    <row r="74" spans="17:72" ht="14.25" customHeight="1">
      <c r="AP74" s="1" t="s">
        <v>1936</v>
      </c>
    </row>
    <row r="75" spans="17:72" ht="14.25" customHeight="1">
      <c r="AP75" s="1"/>
      <c r="AQ75" s="2" t="s">
        <v>618</v>
      </c>
    </row>
    <row r="76" spans="17:72" ht="14.25" customHeight="1">
      <c r="AP76" s="1"/>
      <c r="AQ76" s="2" t="s">
        <v>2279</v>
      </c>
    </row>
    <row r="77" spans="17:72" ht="14.25" customHeight="1">
      <c r="AQ77" s="2" t="s">
        <v>2278</v>
      </c>
    </row>
    <row r="78" spans="17:72" ht="14.25" customHeight="1">
      <c r="AQ78" s="2" t="s">
        <v>1842</v>
      </c>
    </row>
    <row r="79" spans="17:72" ht="14.25" customHeight="1">
      <c r="AQ79" s="2" t="s">
        <v>1894</v>
      </c>
    </row>
    <row r="80" spans="17:72" ht="14.25" customHeight="1">
      <c r="AR80" s="2" t="s">
        <v>2206</v>
      </c>
    </row>
    <row r="81" spans="43:78" ht="14.25" customHeight="1">
      <c r="AQ81" s="2" t="s">
        <v>646</v>
      </c>
    </row>
    <row r="82" spans="43:78" ht="14.25" customHeight="1">
      <c r="AR82" s="2" t="s">
        <v>1974</v>
      </c>
    </row>
    <row r="83" spans="43:78" ht="14.25" customHeight="1">
      <c r="AR83" s="2" t="s">
        <v>1938</v>
      </c>
    </row>
    <row r="84" spans="43:78" ht="14.25" customHeight="1">
      <c r="AS84" s="283" t="s">
        <v>1998</v>
      </c>
      <c r="AT84" s="283"/>
      <c r="AU84" s="283"/>
      <c r="AV84" s="283"/>
      <c r="AW84" s="283"/>
      <c r="AX84" s="283"/>
      <c r="AY84" s="283"/>
      <c r="AZ84" s="283"/>
      <c r="BA84" s="283"/>
      <c r="BB84" s="283"/>
      <c r="BC84" s="283"/>
      <c r="BD84" s="283"/>
      <c r="BE84" s="283"/>
      <c r="BF84" s="283"/>
      <c r="BG84" s="283"/>
      <c r="BH84" s="283"/>
      <c r="BI84" s="283"/>
      <c r="BJ84" s="283"/>
      <c r="BK84" s="283"/>
      <c r="BL84" s="17"/>
      <c r="BM84" s="17"/>
      <c r="BN84" s="17"/>
      <c r="BO84" s="17"/>
      <c r="BP84" s="17"/>
      <c r="BQ84" s="17"/>
      <c r="BR84" s="17"/>
      <c r="BS84" s="17"/>
      <c r="BT84" s="17"/>
      <c r="BU84" s="17"/>
      <c r="BV84" s="17"/>
      <c r="BW84" s="17"/>
      <c r="BX84" s="17"/>
      <c r="BY84" s="17"/>
      <c r="BZ84" s="17"/>
    </row>
    <row r="85" spans="43:78" ht="14.25" customHeight="1">
      <c r="AS85" s="283"/>
      <c r="AT85" s="283"/>
      <c r="AU85" s="283"/>
      <c r="AV85" s="283"/>
      <c r="AW85" s="283"/>
      <c r="AX85" s="283"/>
      <c r="AY85" s="283"/>
      <c r="AZ85" s="283"/>
      <c r="BA85" s="283"/>
      <c r="BB85" s="283"/>
      <c r="BC85" s="283"/>
      <c r="BD85" s="283"/>
      <c r="BE85" s="283"/>
      <c r="BF85" s="283"/>
      <c r="BG85" s="283"/>
      <c r="BH85" s="283"/>
      <c r="BI85" s="283"/>
      <c r="BJ85" s="283"/>
      <c r="BK85" s="283"/>
      <c r="BL85" s="17"/>
      <c r="BM85" s="17"/>
      <c r="BN85" s="17"/>
      <c r="BO85" s="17"/>
      <c r="BP85" s="17"/>
      <c r="BQ85" s="17"/>
      <c r="BR85" s="17"/>
      <c r="BS85" s="17"/>
      <c r="BT85" s="17"/>
      <c r="BU85" s="17"/>
      <c r="BV85" s="17"/>
      <c r="BW85" s="17"/>
      <c r="BX85" s="17"/>
      <c r="BY85" s="17"/>
      <c r="BZ85" s="17"/>
    </row>
    <row r="86" spans="43:78" ht="14.25" customHeight="1">
      <c r="AR86" s="2" t="s">
        <v>1843</v>
      </c>
    </row>
    <row r="87" spans="43:78" ht="14.25" customHeight="1">
      <c r="AS87" s="2" t="s">
        <v>333</v>
      </c>
      <c r="BS87" s="17"/>
      <c r="BT87" s="17"/>
    </row>
    <row r="88" spans="43:78" ht="14.25" customHeight="1">
      <c r="AT88" s="2" t="s">
        <v>2280</v>
      </c>
      <c r="BS88" s="17"/>
      <c r="BT88" s="17"/>
    </row>
    <row r="89" spans="43:78" ht="14.25" customHeight="1">
      <c r="AU89" s="2" t="s">
        <v>2281</v>
      </c>
      <c r="BS89" s="17"/>
      <c r="BT89" s="17"/>
    </row>
    <row r="90" spans="43:78" ht="14.25" customHeight="1">
      <c r="AU90" s="2" t="s">
        <v>1952</v>
      </c>
      <c r="BS90" s="17"/>
      <c r="BT90" s="17"/>
    </row>
    <row r="91" spans="43:78" ht="14.25" customHeight="1">
      <c r="AQ91" s="2" t="s">
        <v>2282</v>
      </c>
    </row>
    <row r="92" spans="43:78" ht="14.25" customHeight="1">
      <c r="AR92" s="2" t="s">
        <v>1932</v>
      </c>
    </row>
    <row r="93" spans="43:78" ht="14.25" customHeight="1">
      <c r="AS93" s="2" t="s">
        <v>2232</v>
      </c>
    </row>
    <row r="94" spans="43:78" ht="14.25" customHeight="1">
      <c r="AS94" s="2" t="s">
        <v>1953</v>
      </c>
    </row>
    <row r="95" spans="43:78" ht="14.25" customHeight="1">
      <c r="AS95" s="2" t="s">
        <v>1930</v>
      </c>
    </row>
    <row r="96" spans="43:78" ht="14.25" customHeight="1">
      <c r="AR96" s="2" t="s">
        <v>2231</v>
      </c>
    </row>
    <row r="97" spans="17:70" ht="14.25" customHeight="1">
      <c r="AR97" s="61"/>
      <c r="AS97" s="2" t="s">
        <v>1931</v>
      </c>
    </row>
    <row r="98" spans="17:70" ht="14.25" customHeight="1">
      <c r="AT98" s="2" t="s">
        <v>2215</v>
      </c>
      <c r="AU98" s="17"/>
      <c r="AV98" s="17"/>
      <c r="AX98" s="17"/>
      <c r="AY98" s="17"/>
      <c r="AZ98" s="17"/>
      <c r="BA98" s="17"/>
      <c r="BB98" s="17"/>
      <c r="BC98" s="17"/>
      <c r="BD98" s="17"/>
      <c r="BE98" s="17"/>
      <c r="BF98" s="17"/>
      <c r="BG98" s="17"/>
      <c r="BH98" s="17"/>
      <c r="BI98" s="17"/>
      <c r="BJ98" s="17"/>
      <c r="BK98" s="17"/>
      <c r="BL98" s="17"/>
      <c r="BM98" s="17"/>
      <c r="BN98" s="17"/>
      <c r="BO98" s="17"/>
      <c r="BP98" s="17"/>
      <c r="BQ98" s="17"/>
    </row>
    <row r="99" spans="17:70" ht="14.25" customHeight="1">
      <c r="AT99" s="2" t="s">
        <v>2216</v>
      </c>
      <c r="AU99" s="17"/>
      <c r="AV99" s="17"/>
      <c r="AX99" s="17"/>
      <c r="AY99" s="17"/>
      <c r="AZ99" s="17"/>
      <c r="BA99" s="17"/>
      <c r="BB99" s="17"/>
      <c r="BC99" s="17"/>
      <c r="BD99" s="17"/>
      <c r="BE99" s="17"/>
      <c r="BF99" s="17"/>
      <c r="BG99" s="17"/>
      <c r="BH99" s="17"/>
      <c r="BI99" s="17"/>
      <c r="BJ99" s="17"/>
      <c r="BK99" s="17"/>
      <c r="BL99" s="17"/>
      <c r="BM99" s="17"/>
      <c r="BN99" s="17"/>
      <c r="BO99" s="17"/>
      <c r="BP99" s="17"/>
      <c r="BQ99" s="17"/>
    </row>
    <row r="100" spans="17:70" ht="14.25" customHeight="1">
      <c r="AS100" s="2" t="s">
        <v>2235</v>
      </c>
      <c r="AX100" s="12"/>
      <c r="AY100" s="12"/>
      <c r="AZ100" s="12"/>
      <c r="BA100" s="12"/>
      <c r="BB100" s="12"/>
      <c r="BC100" s="12"/>
      <c r="BD100" s="12"/>
      <c r="BE100" s="12"/>
      <c r="BF100" s="12"/>
      <c r="BG100" s="12"/>
      <c r="BH100" s="12"/>
      <c r="BI100" s="12"/>
      <c r="BJ100" s="12"/>
      <c r="BK100" s="12"/>
      <c r="BL100" s="12"/>
      <c r="BM100" s="12"/>
      <c r="BN100" s="12"/>
      <c r="BO100" s="12"/>
      <c r="BP100" s="12"/>
      <c r="BQ100" s="12"/>
      <c r="BR100" s="12"/>
    </row>
    <row r="101" spans="17:70" ht="14.25" customHeight="1">
      <c r="AS101" s="61" t="s">
        <v>2070</v>
      </c>
      <c r="AT101" s="2" t="s">
        <v>2221</v>
      </c>
      <c r="AX101" s="12"/>
      <c r="AY101" s="12"/>
      <c r="AZ101" s="12"/>
      <c r="BA101" s="12"/>
      <c r="BB101" s="12"/>
      <c r="BC101" s="12"/>
      <c r="BD101" s="12"/>
      <c r="BE101" s="12"/>
      <c r="BF101" s="12"/>
      <c r="BG101" s="12"/>
      <c r="BH101" s="12"/>
      <c r="BI101" s="12"/>
      <c r="BJ101" s="12"/>
      <c r="BK101" s="12"/>
      <c r="BL101" s="12"/>
      <c r="BM101" s="12"/>
      <c r="BN101" s="12"/>
      <c r="BO101" s="12"/>
      <c r="BP101" s="12"/>
      <c r="BQ101" s="12"/>
      <c r="BR101" s="12"/>
    </row>
    <row r="102" spans="17:70" ht="14.25" customHeight="1">
      <c r="AS102" s="61" t="s">
        <v>1934</v>
      </c>
      <c r="AT102" s="2" t="s">
        <v>2222</v>
      </c>
    </row>
    <row r="103" spans="17:70" ht="14.25" customHeight="1">
      <c r="AS103" s="2" t="s">
        <v>1933</v>
      </c>
    </row>
    <row r="104" spans="17:70" ht="14.25" customHeight="1">
      <c r="AS104" s="61" t="s">
        <v>2070</v>
      </c>
      <c r="AT104" s="2" t="s">
        <v>1951</v>
      </c>
    </row>
    <row r="105" spans="17:70" ht="14.25" customHeight="1">
      <c r="AS105" s="61" t="s">
        <v>1934</v>
      </c>
      <c r="AT105" s="2" t="s">
        <v>1935</v>
      </c>
    </row>
    <row r="106" spans="17:70" ht="14.25" customHeight="1">
      <c r="AS106" s="2" t="s">
        <v>1981</v>
      </c>
    </row>
    <row r="107" spans="17:70" ht="14.25" customHeight="1">
      <c r="AT107" s="2" t="s">
        <v>1948</v>
      </c>
    </row>
    <row r="108" spans="17:70" ht="14.25" customHeight="1">
      <c r="R108" s="2" t="s">
        <v>1688</v>
      </c>
      <c r="S108" s="2" t="s">
        <v>2063</v>
      </c>
      <c r="AU108" s="2" t="s">
        <v>1949</v>
      </c>
    </row>
    <row r="109" spans="17:70" ht="14.25" customHeight="1">
      <c r="S109" s="2" t="s">
        <v>1690</v>
      </c>
      <c r="AR109" s="2" t="s">
        <v>2230</v>
      </c>
    </row>
    <row r="110" spans="17:70" ht="14.25" customHeight="1">
      <c r="S110" s="2" t="s">
        <v>1691</v>
      </c>
      <c r="AS110" s="2" t="s">
        <v>2218</v>
      </c>
    </row>
    <row r="111" spans="17:70" ht="14.25" customHeight="1">
      <c r="AT111" s="2" t="s">
        <v>2219</v>
      </c>
    </row>
    <row r="112" spans="17:70" ht="14.25" customHeight="1">
      <c r="Q112" s="1" t="s">
        <v>1985</v>
      </c>
      <c r="AS112" s="2" t="s">
        <v>2220</v>
      </c>
    </row>
    <row r="113" spans="45:76" ht="14.25" customHeight="1">
      <c r="AS113" s="61" t="s">
        <v>2070</v>
      </c>
      <c r="AT113" s="2" t="s">
        <v>2225</v>
      </c>
    </row>
    <row r="114" spans="45:76" ht="14.25" customHeight="1">
      <c r="AS114" s="61" t="s">
        <v>1934</v>
      </c>
      <c r="AT114" s="2" t="s">
        <v>2226</v>
      </c>
    </row>
    <row r="115" spans="45:76" ht="14.25" customHeight="1">
      <c r="AU115" s="2" t="s">
        <v>2223</v>
      </c>
    </row>
    <row r="116" spans="45:76" ht="14.25" customHeight="1">
      <c r="AS116" s="2" t="s">
        <v>1933</v>
      </c>
      <c r="BS116" s="12"/>
    </row>
    <row r="117" spans="45:76" ht="14.25" customHeight="1">
      <c r="AS117" s="61" t="s">
        <v>2070</v>
      </c>
      <c r="AT117" s="2" t="s">
        <v>2227</v>
      </c>
      <c r="BS117" s="12"/>
      <c r="BX117" s="17"/>
    </row>
    <row r="118" spans="45:76" ht="14.25" customHeight="1">
      <c r="AU118" s="2" t="s">
        <v>2228</v>
      </c>
    </row>
    <row r="119" spans="45:76" ht="14.25" customHeight="1">
      <c r="AU119" s="2" t="s">
        <v>2233</v>
      </c>
    </row>
    <row r="120" spans="45:76" ht="14.25" customHeight="1">
      <c r="AS120" s="61" t="s">
        <v>1934</v>
      </c>
      <c r="AT120" s="2" t="s">
        <v>2229</v>
      </c>
    </row>
    <row r="121" spans="45:76" ht="14.25" customHeight="1">
      <c r="AS121" s="2" t="s">
        <v>2234</v>
      </c>
    </row>
    <row r="122" spans="45:76" ht="14.25" customHeight="1">
      <c r="AS122" s="61" t="s">
        <v>2070</v>
      </c>
      <c r="AT122" s="2" t="s">
        <v>2237</v>
      </c>
    </row>
    <row r="123" spans="45:76" ht="14.25" customHeight="1">
      <c r="AU123" s="2" t="s">
        <v>2238</v>
      </c>
      <c r="BS123" s="12"/>
      <c r="BX123" s="17"/>
    </row>
    <row r="124" spans="45:76" ht="14.25" customHeight="1">
      <c r="AS124" s="2" t="s">
        <v>1933</v>
      </c>
      <c r="BS124" s="12"/>
      <c r="BX124" s="17"/>
    </row>
    <row r="125" spans="45:76" ht="14.25" customHeight="1">
      <c r="AS125" s="61" t="s">
        <v>2070</v>
      </c>
      <c r="AT125" s="2" t="s">
        <v>2236</v>
      </c>
      <c r="BG125" s="12"/>
      <c r="BH125" s="12"/>
      <c r="BI125" s="12"/>
      <c r="BJ125" s="12"/>
      <c r="BK125" s="12"/>
      <c r="BL125" s="12"/>
      <c r="BM125" s="12"/>
      <c r="BN125" s="12"/>
      <c r="BO125" s="12"/>
      <c r="BP125" s="12"/>
      <c r="BQ125" s="12"/>
      <c r="BR125" s="12"/>
      <c r="BS125" s="12"/>
      <c r="BT125" s="12"/>
      <c r="BU125" s="12"/>
      <c r="BV125" s="12"/>
      <c r="BW125" s="12"/>
    </row>
    <row r="126" spans="45:76" ht="14.25" customHeight="1">
      <c r="AU126" s="2" t="s">
        <v>2239</v>
      </c>
      <c r="BG126" s="12"/>
      <c r="BH126" s="12"/>
      <c r="BI126" s="12"/>
      <c r="BJ126" s="12"/>
      <c r="BK126" s="12"/>
      <c r="BL126" s="12"/>
      <c r="BM126" s="12"/>
      <c r="BN126" s="12"/>
      <c r="BO126" s="12"/>
      <c r="BP126" s="12"/>
      <c r="BQ126" s="12"/>
      <c r="BR126" s="12"/>
      <c r="BS126" s="12"/>
      <c r="BT126" s="12"/>
      <c r="BU126" s="12"/>
      <c r="BV126" s="12"/>
      <c r="BW126" s="12"/>
    </row>
    <row r="127" spans="45:76" ht="14.25" customHeight="1">
      <c r="AU127" s="2" t="s">
        <v>2240</v>
      </c>
      <c r="BD127" s="12"/>
      <c r="BE127" s="12"/>
      <c r="BF127" s="12"/>
      <c r="BG127" s="12"/>
      <c r="BH127" s="12"/>
      <c r="BI127" s="12"/>
      <c r="BJ127" s="12"/>
      <c r="BK127" s="12"/>
      <c r="BL127" s="12"/>
      <c r="BM127" s="12"/>
      <c r="BN127" s="12"/>
      <c r="BO127" s="12"/>
      <c r="BP127" s="12"/>
      <c r="BQ127" s="12"/>
      <c r="BR127" s="12"/>
      <c r="BS127" s="12"/>
      <c r="BT127" s="12"/>
      <c r="BU127" s="12"/>
      <c r="BV127" s="12"/>
      <c r="BW127" s="12"/>
    </row>
    <row r="128" spans="45:76" ht="14.25" customHeight="1">
      <c r="AS128" s="2" t="s">
        <v>2283</v>
      </c>
      <c r="BD128" s="12"/>
      <c r="BE128" s="12"/>
      <c r="BF128" s="12"/>
      <c r="BG128" s="17"/>
      <c r="BH128" s="17"/>
      <c r="BI128" s="17"/>
      <c r="BJ128" s="17"/>
      <c r="BK128" s="17"/>
      <c r="BL128" s="17"/>
      <c r="BM128" s="17"/>
      <c r="BN128" s="17"/>
      <c r="BO128" s="17"/>
      <c r="BP128" s="17"/>
      <c r="BQ128" s="17"/>
      <c r="BR128" s="17"/>
      <c r="BS128" s="17"/>
      <c r="BT128" s="17"/>
      <c r="BU128" s="17"/>
      <c r="BV128" s="17"/>
    </row>
    <row r="129" spans="44:77" ht="14.25" customHeight="1">
      <c r="AR129" s="2" t="s">
        <v>2285</v>
      </c>
      <c r="BD129" s="12"/>
      <c r="BE129" s="12"/>
      <c r="BF129" s="12"/>
      <c r="BG129" s="17"/>
      <c r="BH129" s="17"/>
      <c r="BI129" s="17"/>
      <c r="BJ129" s="17"/>
      <c r="BK129" s="17"/>
      <c r="BL129" s="17"/>
      <c r="BM129" s="17"/>
      <c r="BN129" s="17"/>
      <c r="BO129" s="17"/>
      <c r="BP129" s="17"/>
      <c r="BQ129" s="17"/>
      <c r="BR129" s="17"/>
      <c r="BS129" s="17"/>
      <c r="BT129" s="17"/>
      <c r="BU129" s="17"/>
      <c r="BV129" s="17"/>
    </row>
    <row r="130" spans="44:77" ht="14.25" customHeight="1">
      <c r="AS130" s="2" t="s">
        <v>2286</v>
      </c>
      <c r="BD130" s="12"/>
      <c r="BE130" s="12"/>
      <c r="BF130" s="12"/>
      <c r="BG130" s="17"/>
      <c r="BH130" s="17"/>
      <c r="BI130" s="17"/>
      <c r="BJ130" s="17"/>
      <c r="BK130" s="17"/>
      <c r="BL130" s="17"/>
      <c r="BM130" s="17"/>
      <c r="BN130" s="17"/>
      <c r="BO130" s="17"/>
      <c r="BP130" s="17"/>
      <c r="BQ130" s="17"/>
      <c r="BR130" s="17"/>
      <c r="BS130" s="17"/>
      <c r="BT130" s="17"/>
      <c r="BU130" s="17"/>
      <c r="BV130" s="17"/>
    </row>
    <row r="131" spans="44:77" ht="14.25" customHeight="1">
      <c r="AT131" s="2" t="s">
        <v>2287</v>
      </c>
      <c r="BD131" s="12"/>
      <c r="BE131" s="12"/>
      <c r="BF131" s="12"/>
      <c r="BG131" s="17"/>
      <c r="BH131" s="17"/>
      <c r="BI131" s="17"/>
      <c r="BJ131" s="17"/>
      <c r="BK131" s="17"/>
      <c r="BL131" s="17"/>
      <c r="BM131" s="17"/>
      <c r="BN131" s="17"/>
      <c r="BO131" s="17"/>
      <c r="BP131" s="17"/>
      <c r="BQ131" s="17"/>
      <c r="BR131" s="17"/>
      <c r="BS131" s="17"/>
      <c r="BT131" s="17"/>
      <c r="BU131" s="17"/>
      <c r="BV131" s="17"/>
    </row>
    <row r="132" spans="44:77" ht="14.25" customHeight="1">
      <c r="AT132" s="2" t="s">
        <v>2288</v>
      </c>
      <c r="BD132" s="12"/>
      <c r="BE132" s="12"/>
      <c r="BF132" s="12"/>
      <c r="BG132" s="17"/>
      <c r="BH132" s="17"/>
      <c r="BI132" s="17"/>
      <c r="BJ132" s="17"/>
      <c r="BK132" s="17"/>
      <c r="BL132" s="17"/>
      <c r="BM132" s="17"/>
      <c r="BN132" s="17"/>
      <c r="BO132" s="17"/>
      <c r="BP132" s="17"/>
      <c r="BQ132" s="17"/>
      <c r="BR132" s="17"/>
      <c r="BS132" s="17"/>
      <c r="BT132" s="17"/>
      <c r="BU132" s="17"/>
      <c r="BV132" s="17"/>
    </row>
    <row r="133" spans="44:77" ht="14.25" customHeight="1">
      <c r="AS133" s="2" t="s">
        <v>2289</v>
      </c>
      <c r="BD133" s="12"/>
      <c r="BE133" s="12"/>
      <c r="BF133" s="12"/>
      <c r="BG133" s="17"/>
      <c r="BH133" s="17"/>
      <c r="BI133" s="17"/>
      <c r="BJ133" s="17"/>
      <c r="BK133" s="17"/>
      <c r="BL133" s="17"/>
      <c r="BM133" s="17"/>
      <c r="BN133" s="17"/>
      <c r="BO133" s="17"/>
      <c r="BP133" s="17"/>
      <c r="BQ133" s="17"/>
      <c r="BR133" s="17"/>
      <c r="BS133" s="17"/>
      <c r="BT133" s="17"/>
      <c r="BU133" s="17"/>
      <c r="BV133" s="17"/>
    </row>
    <row r="134" spans="44:77" ht="14.25" customHeight="1">
      <c r="AS134" s="61" t="s">
        <v>2070</v>
      </c>
      <c r="AT134" s="2" t="s">
        <v>2290</v>
      </c>
      <c r="BD134" s="12"/>
      <c r="BE134" s="12"/>
      <c r="BF134" s="12"/>
      <c r="BG134" s="17"/>
      <c r="BH134" s="17"/>
      <c r="BI134" s="17"/>
      <c r="BJ134" s="17"/>
      <c r="BK134" s="17"/>
      <c r="BL134" s="17"/>
      <c r="BM134" s="17"/>
      <c r="BN134" s="17"/>
      <c r="BO134" s="17"/>
      <c r="BP134" s="17"/>
      <c r="BQ134" s="17"/>
      <c r="BR134" s="17"/>
      <c r="BS134" s="17"/>
      <c r="BT134" s="17"/>
      <c r="BU134" s="17"/>
      <c r="BV134" s="17"/>
    </row>
    <row r="135" spans="44:77" ht="14.25" customHeight="1">
      <c r="AS135" s="61" t="s">
        <v>1934</v>
      </c>
      <c r="AT135" s="2" t="s">
        <v>2291</v>
      </c>
      <c r="BD135" s="12"/>
      <c r="BE135" s="12"/>
      <c r="BF135" s="12"/>
      <c r="BG135" s="17"/>
      <c r="BH135" s="17"/>
      <c r="BI135" s="17"/>
      <c r="BJ135" s="17"/>
      <c r="BK135" s="17"/>
      <c r="BL135" s="17"/>
      <c r="BM135" s="17"/>
      <c r="BN135" s="17"/>
      <c r="BO135" s="17"/>
      <c r="BP135" s="17"/>
      <c r="BQ135" s="17"/>
      <c r="BR135" s="17"/>
      <c r="BS135" s="17"/>
      <c r="BT135" s="17"/>
      <c r="BU135" s="17"/>
      <c r="BV135" s="17"/>
    </row>
    <row r="136" spans="44:77" ht="14.25" customHeight="1">
      <c r="AS136" s="2" t="s">
        <v>1933</v>
      </c>
      <c r="BD136" s="12"/>
      <c r="BE136" s="12"/>
      <c r="BF136" s="12"/>
      <c r="BG136" s="17"/>
      <c r="BH136" s="17"/>
      <c r="BI136" s="17"/>
      <c r="BJ136" s="17"/>
      <c r="BK136" s="17"/>
      <c r="BL136" s="17"/>
      <c r="BM136" s="17"/>
      <c r="BN136" s="17"/>
      <c r="BO136" s="17"/>
      <c r="BP136" s="17"/>
      <c r="BQ136" s="17"/>
      <c r="BR136" s="17"/>
      <c r="BS136" s="17"/>
      <c r="BT136" s="17"/>
      <c r="BU136" s="17"/>
      <c r="BV136" s="17"/>
    </row>
    <row r="137" spans="44:77" ht="14.25" customHeight="1">
      <c r="AS137" s="61" t="s">
        <v>2070</v>
      </c>
      <c r="AT137" s="2" t="s">
        <v>2293</v>
      </c>
      <c r="BD137" s="12"/>
      <c r="BE137" s="12"/>
      <c r="BF137" s="12"/>
      <c r="BG137" s="17"/>
      <c r="BH137" s="17"/>
      <c r="BI137" s="17"/>
      <c r="BJ137" s="17"/>
      <c r="BK137" s="17"/>
      <c r="BL137" s="17"/>
      <c r="BM137" s="17"/>
      <c r="BN137" s="17"/>
      <c r="BO137" s="17"/>
      <c r="BP137" s="17"/>
      <c r="BQ137" s="17"/>
      <c r="BR137" s="17"/>
      <c r="BS137" s="17"/>
      <c r="BT137" s="17"/>
      <c r="BU137" s="17"/>
      <c r="BV137" s="17"/>
    </row>
    <row r="138" spans="44:77" ht="14.25" customHeight="1">
      <c r="AU138" s="2" t="s">
        <v>2295</v>
      </c>
      <c r="BD138" s="12"/>
      <c r="BE138" s="12"/>
      <c r="BF138" s="12"/>
      <c r="BG138" s="17"/>
      <c r="BH138" s="17"/>
      <c r="BI138" s="17"/>
      <c r="BJ138" s="17"/>
      <c r="BK138" s="17"/>
      <c r="BL138" s="17"/>
      <c r="BM138" s="17"/>
      <c r="BN138" s="17"/>
      <c r="BO138" s="17"/>
      <c r="BP138" s="17"/>
      <c r="BQ138" s="17"/>
      <c r="BR138" s="17"/>
      <c r="BS138" s="17"/>
      <c r="BT138" s="17"/>
      <c r="BU138" s="17"/>
      <c r="BV138" s="17"/>
    </row>
    <row r="139" spans="44:77" ht="14.25" customHeight="1">
      <c r="AU139" s="2" t="s">
        <v>2294</v>
      </c>
      <c r="BD139" s="12"/>
      <c r="BE139" s="12"/>
      <c r="BF139" s="12"/>
      <c r="BG139" s="17"/>
      <c r="BH139" s="17"/>
      <c r="BI139" s="17"/>
      <c r="BJ139" s="17"/>
      <c r="BK139" s="17"/>
      <c r="BL139" s="17"/>
      <c r="BM139" s="17"/>
      <c r="BN139" s="17"/>
      <c r="BO139" s="17"/>
      <c r="BP139" s="17"/>
      <c r="BQ139" s="17"/>
      <c r="BR139" s="17"/>
      <c r="BS139" s="17"/>
      <c r="BT139" s="17"/>
      <c r="BU139" s="17"/>
      <c r="BV139" s="17"/>
    </row>
    <row r="140" spans="44:77" ht="14.25" customHeight="1">
      <c r="AU140" s="2" t="s">
        <v>2296</v>
      </c>
      <c r="BD140" s="12"/>
      <c r="BE140" s="12"/>
      <c r="BF140" s="12"/>
      <c r="BG140" s="17"/>
      <c r="BH140" s="17"/>
      <c r="BI140" s="17"/>
      <c r="BJ140" s="17"/>
      <c r="BK140" s="17"/>
      <c r="BL140" s="17"/>
      <c r="BM140" s="17"/>
      <c r="BN140" s="17"/>
      <c r="BO140" s="17"/>
      <c r="BP140" s="17"/>
      <c r="BQ140" s="17"/>
      <c r="BR140" s="17"/>
      <c r="BS140" s="17"/>
      <c r="BT140" s="17"/>
      <c r="BU140" s="17"/>
      <c r="BV140" s="17"/>
    </row>
    <row r="141" spans="44:77" ht="14.25" customHeight="1">
      <c r="AU141" s="2" t="s">
        <v>2297</v>
      </c>
      <c r="BD141" s="12"/>
      <c r="BE141" s="12"/>
      <c r="BF141" s="12"/>
      <c r="BG141" s="17"/>
      <c r="BH141" s="17"/>
      <c r="BI141" s="17"/>
      <c r="BJ141" s="17"/>
      <c r="BK141" s="17"/>
      <c r="BL141" s="17"/>
      <c r="BM141" s="17"/>
      <c r="BN141" s="17"/>
      <c r="BO141" s="17"/>
      <c r="BP141" s="17"/>
      <c r="BQ141" s="17"/>
      <c r="BR141" s="17"/>
      <c r="BS141" s="17"/>
      <c r="BT141" s="17"/>
      <c r="BU141" s="17"/>
      <c r="BV141" s="17"/>
    </row>
    <row r="142" spans="44:77" ht="14.25" customHeight="1">
      <c r="AS142" s="61" t="s">
        <v>1934</v>
      </c>
      <c r="AT142" s="2" t="s">
        <v>2300</v>
      </c>
    </row>
    <row r="143" spans="44:77" ht="14.25" customHeight="1">
      <c r="AR143" s="1" t="s">
        <v>2301</v>
      </c>
      <c r="AS143"/>
      <c r="AT143"/>
      <c r="AU143"/>
      <c r="AV143"/>
      <c r="AW143"/>
      <c r="AX143"/>
      <c r="AY143"/>
      <c r="AZ143"/>
      <c r="BA143"/>
      <c r="BB143"/>
      <c r="BC143"/>
      <c r="BD143"/>
      <c r="BE143" s="12"/>
      <c r="BF143" s="12"/>
      <c r="BG143" s="12"/>
      <c r="BH143" s="12"/>
      <c r="BI143" s="12"/>
      <c r="BJ143" s="12"/>
      <c r="BK143" s="12"/>
      <c r="BL143" s="12"/>
      <c r="BM143" s="12"/>
      <c r="BN143" s="12"/>
      <c r="BO143" s="12"/>
      <c r="BP143" s="12"/>
      <c r="BQ143" s="12"/>
      <c r="BR143" s="12"/>
      <c r="BS143" s="12"/>
      <c r="BT143"/>
      <c r="BU143"/>
      <c r="BV143"/>
      <c r="BW143"/>
      <c r="BX143"/>
      <c r="BY143"/>
    </row>
    <row r="144" spans="44:77" ht="14.25" customHeight="1">
      <c r="AR144"/>
      <c r="AS144" s="2" t="s">
        <v>2302</v>
      </c>
      <c r="AT144"/>
      <c r="AU144"/>
      <c r="AV144"/>
      <c r="AW144"/>
      <c r="AX144"/>
      <c r="AY144"/>
      <c r="AZ144"/>
      <c r="BA144"/>
      <c r="BB144"/>
      <c r="BC144"/>
      <c r="BD144"/>
      <c r="BE144" s="12"/>
      <c r="BF144" s="12"/>
      <c r="BG144" s="12"/>
      <c r="BH144" s="12"/>
      <c r="BI144" s="12"/>
      <c r="BJ144" s="12"/>
      <c r="BK144" s="12"/>
      <c r="BL144" s="12"/>
      <c r="BM144" s="12"/>
      <c r="BN144" s="12"/>
      <c r="BO144" s="12"/>
      <c r="BP144" s="12"/>
      <c r="BQ144" s="12"/>
      <c r="BR144" s="12"/>
      <c r="BS144" s="12"/>
      <c r="BT144"/>
      <c r="BU144"/>
      <c r="BV144"/>
      <c r="BW144"/>
      <c r="BX144"/>
      <c r="BY144"/>
    </row>
    <row r="145" spans="17:79" ht="14.25" customHeight="1">
      <c r="AR145"/>
      <c r="AS145"/>
      <c r="AT145" s="2" t="s">
        <v>2303</v>
      </c>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row>
    <row r="146" spans="17:79" ht="14.25" customHeight="1">
      <c r="AR146"/>
      <c r="AS146" s="2" t="s">
        <v>2304</v>
      </c>
      <c r="AT146"/>
      <c r="AU146"/>
      <c r="AV146"/>
      <c r="AW146"/>
      <c r="AX146" s="12"/>
      <c r="AY146" s="12"/>
      <c r="AZ146" s="12"/>
      <c r="BA146" s="12"/>
      <c r="BB146" s="12"/>
      <c r="BC146" s="12"/>
      <c r="BD146" s="12"/>
      <c r="BE146"/>
      <c r="BF146"/>
      <c r="BG146"/>
      <c r="BH146"/>
      <c r="BI146"/>
      <c r="BJ146"/>
      <c r="BK146"/>
      <c r="BL146"/>
      <c r="BM146"/>
      <c r="BN146"/>
      <c r="BO146"/>
      <c r="BP146"/>
      <c r="BQ146"/>
      <c r="BR146"/>
      <c r="BS146"/>
      <c r="BT146"/>
      <c r="BU146"/>
      <c r="BV146"/>
      <c r="BW146"/>
      <c r="BX146"/>
      <c r="BY146"/>
    </row>
    <row r="147" spans="17:79" ht="14.25" customHeight="1">
      <c r="R147" s="2" t="s">
        <v>1688</v>
      </c>
      <c r="S147" s="2" t="s">
        <v>1689</v>
      </c>
      <c r="AR147"/>
      <c r="AS147"/>
      <c r="AT147" s="283" t="s">
        <v>2305</v>
      </c>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17"/>
      <c r="BZ147" s="17"/>
      <c r="CA147" s="17"/>
    </row>
    <row r="148" spans="17:79" ht="14.25" customHeight="1">
      <c r="S148" s="2" t="s">
        <v>1690</v>
      </c>
      <c r="AR148"/>
      <c r="AS148"/>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17"/>
      <c r="BZ148" s="17"/>
      <c r="CA148" s="17"/>
    </row>
    <row r="149" spans="17:79" ht="14.25" customHeight="1">
      <c r="S149" s="2" t="s">
        <v>1691</v>
      </c>
      <c r="AR149"/>
      <c r="AS149"/>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17"/>
      <c r="BZ149" s="17"/>
      <c r="CA149" s="17"/>
    </row>
    <row r="150" spans="17:79" ht="14.25" customHeight="1">
      <c r="AR150"/>
      <c r="AS150"/>
      <c r="AT150"/>
      <c r="AU150" s="2" t="s">
        <v>2306</v>
      </c>
      <c r="AV150"/>
      <c r="AW150"/>
      <c r="AX150"/>
      <c r="AY150"/>
      <c r="AZ150"/>
      <c r="BA150"/>
      <c r="BB150"/>
      <c r="BC150"/>
      <c r="BD150"/>
      <c r="BE150"/>
      <c r="BF150"/>
      <c r="BG150"/>
    </row>
    <row r="151" spans="17:79" ht="14.25" customHeight="1">
      <c r="Q151" s="1" t="s">
        <v>1692</v>
      </c>
      <c r="AR151"/>
      <c r="AS151" s="2" t="s">
        <v>2307</v>
      </c>
      <c r="AT151"/>
      <c r="AU151"/>
      <c r="AV151"/>
      <c r="AW151"/>
      <c r="AX151"/>
      <c r="AY151"/>
      <c r="AZ151"/>
      <c r="BA151"/>
      <c r="BB151"/>
      <c r="BC151"/>
      <c r="BD151"/>
      <c r="BE151" s="12"/>
      <c r="BF151" s="12"/>
      <c r="BG151" s="12"/>
    </row>
    <row r="152" spans="17:79" ht="14.25" customHeight="1">
      <c r="AR152"/>
      <c r="AS152"/>
      <c r="AT152" s="2" t="s">
        <v>2308</v>
      </c>
      <c r="AU152"/>
      <c r="AV152"/>
      <c r="AW152"/>
      <c r="AX152"/>
      <c r="AY152"/>
      <c r="AZ152"/>
      <c r="BA152"/>
      <c r="BB152"/>
      <c r="BC152"/>
      <c r="BD152"/>
      <c r="BE152"/>
      <c r="BF152"/>
      <c r="BG152"/>
    </row>
    <row r="153" spans="17:79" ht="14.25" customHeight="1">
      <c r="AR153"/>
      <c r="AS153"/>
      <c r="AT153" s="2" t="s">
        <v>2309</v>
      </c>
      <c r="AU153"/>
      <c r="AV153"/>
      <c r="AW153"/>
      <c r="AX153"/>
      <c r="AY153"/>
      <c r="AZ153"/>
      <c r="BA153"/>
      <c r="BB153"/>
      <c r="BC153"/>
      <c r="BD153"/>
      <c r="BE153"/>
      <c r="BF153"/>
      <c r="BG153"/>
    </row>
    <row r="154" spans="17:79" ht="14.25" customHeight="1">
      <c r="AR154"/>
      <c r="AS154"/>
      <c r="AT154"/>
      <c r="AU154" s="2" t="s">
        <v>2310</v>
      </c>
      <c r="AV154"/>
      <c r="AW154"/>
      <c r="AX154"/>
      <c r="AY154" s="12"/>
      <c r="AZ154" s="12"/>
      <c r="BA154" s="12"/>
      <c r="BB154" s="12"/>
      <c r="BC154"/>
      <c r="BD154"/>
      <c r="BE154"/>
      <c r="BF154"/>
      <c r="BG154"/>
    </row>
    <row r="155" spans="17:79" ht="14.25" customHeight="1">
      <c r="AR155" s="2" t="s">
        <v>2311</v>
      </c>
      <c r="AS155"/>
      <c r="AT155"/>
      <c r="AU155"/>
      <c r="AV155"/>
      <c r="AW155"/>
      <c r="AX155"/>
      <c r="AY155"/>
      <c r="AZ155"/>
      <c r="BA155"/>
      <c r="BB155"/>
      <c r="BC155"/>
      <c r="BD155"/>
      <c r="BE155"/>
      <c r="BF155"/>
      <c r="BG155"/>
    </row>
    <row r="156" spans="17:79" ht="14.25" customHeight="1">
      <c r="AR156"/>
      <c r="AS156" s="2" t="s">
        <v>2312</v>
      </c>
      <c r="AT156"/>
      <c r="AU156"/>
      <c r="AV156"/>
      <c r="AW156"/>
      <c r="AX156"/>
      <c r="AY156"/>
      <c r="AZ156"/>
      <c r="BA156"/>
      <c r="BB156"/>
      <c r="BC156" s="12"/>
      <c r="BD156" s="12"/>
      <c r="BE156"/>
      <c r="BF156"/>
      <c r="BG156"/>
    </row>
    <row r="157" spans="17:79" ht="14.25" customHeight="1">
      <c r="AR157"/>
      <c r="AS157" s="2" t="s">
        <v>2313</v>
      </c>
      <c r="AT157"/>
      <c r="AU157"/>
      <c r="AV157"/>
      <c r="AW157"/>
      <c r="AX157"/>
      <c r="AY157"/>
      <c r="AZ157"/>
      <c r="BA157"/>
      <c r="BB157"/>
      <c r="BC157"/>
      <c r="BD157"/>
      <c r="BE157"/>
      <c r="BF157"/>
      <c r="BG157"/>
    </row>
    <row r="158" spans="17:79" ht="14.25" customHeight="1">
      <c r="AR158"/>
      <c r="AS158"/>
      <c r="AT158" s="2" t="s">
        <v>2314</v>
      </c>
      <c r="AU158"/>
      <c r="AV158"/>
      <c r="AW158"/>
      <c r="AX158"/>
      <c r="AY158"/>
      <c r="AZ158"/>
      <c r="BA158"/>
      <c r="BB158"/>
      <c r="BC158"/>
      <c r="BD158"/>
      <c r="BE158"/>
      <c r="BF158"/>
      <c r="BG158"/>
    </row>
    <row r="159" spans="17:79" ht="14.25" customHeight="1">
      <c r="AP159" s="2" t="s">
        <v>2317</v>
      </c>
      <c r="AQ159"/>
      <c r="AR159"/>
    </row>
    <row r="160" spans="17:79" ht="14.25" customHeight="1">
      <c r="AP160"/>
      <c r="AQ160" s="2" t="s">
        <v>2320</v>
      </c>
      <c r="AR160"/>
    </row>
    <row r="161" spans="42:46" ht="14.25" customHeight="1">
      <c r="AP161"/>
      <c r="AQ161" s="2" t="s">
        <v>2318</v>
      </c>
    </row>
    <row r="162" spans="42:46" ht="14.25" customHeight="1">
      <c r="AP162"/>
      <c r="AQ162" s="2" t="s">
        <v>2319</v>
      </c>
    </row>
    <row r="163" spans="42:46" ht="14.25" customHeight="1">
      <c r="AR163" s="2" t="s">
        <v>2315</v>
      </c>
    </row>
    <row r="164" spans="42:46" ht="14.25" customHeight="1">
      <c r="AQ164" s="2" t="s">
        <v>2316</v>
      </c>
      <c r="AR164"/>
    </row>
    <row r="165" spans="42:46" ht="14.25" customHeight="1">
      <c r="AS165" s="2" t="s">
        <v>1698</v>
      </c>
    </row>
    <row r="166" spans="42:46" ht="14.25" customHeight="1">
      <c r="AR166" s="2" t="s">
        <v>2321</v>
      </c>
    </row>
    <row r="167" spans="42:46" ht="14.25" customHeight="1">
      <c r="AS167" s="2" t="s">
        <v>1989</v>
      </c>
    </row>
    <row r="168" spans="42:46" ht="14.25" customHeight="1">
      <c r="AS168" s="2" t="s">
        <v>1960</v>
      </c>
    </row>
    <row r="169" spans="42:46" ht="14.25" customHeight="1">
      <c r="AS169" s="2" t="s">
        <v>1962</v>
      </c>
    </row>
    <row r="170" spans="42:46" ht="14.25" customHeight="1">
      <c r="AT170" s="2" t="s">
        <v>2091</v>
      </c>
    </row>
    <row r="171" spans="42:46" ht="14.25" customHeight="1">
      <c r="AR171" s="2" t="s">
        <v>2322</v>
      </c>
    </row>
    <row r="172" spans="42:46" ht="14.25" customHeight="1">
      <c r="AS172" s="2" t="s">
        <v>2324</v>
      </c>
    </row>
    <row r="175" spans="42:46" ht="14.25" customHeight="1">
      <c r="AR175" s="2" t="s">
        <v>2323</v>
      </c>
    </row>
    <row r="176" spans="42:46" ht="14.25" customHeight="1">
      <c r="AS176" s="2" t="s">
        <v>2325</v>
      </c>
    </row>
    <row r="186" spans="2:41" ht="14.25" customHeight="1">
      <c r="R186" s="2" t="s">
        <v>1688</v>
      </c>
      <c r="S186" s="2" t="s">
        <v>1920</v>
      </c>
    </row>
    <row r="187" spans="2:41" ht="14.25" customHeight="1">
      <c r="S187" s="2" t="s">
        <v>1907</v>
      </c>
    </row>
    <row r="188" spans="2:41" ht="14.25" customHeight="1">
      <c r="S188" s="2" t="s">
        <v>1691</v>
      </c>
    </row>
    <row r="190" spans="2:41" ht="14.25" customHeight="1">
      <c r="B190" s="2" t="s">
        <v>2241</v>
      </c>
      <c r="J190" s="2" t="s">
        <v>2244</v>
      </c>
      <c r="Q190" s="1" t="s">
        <v>1430</v>
      </c>
    </row>
    <row r="191" spans="2:41" ht="14.25" customHeight="1">
      <c r="B191" s="2" t="s">
        <v>2243</v>
      </c>
      <c r="J191" s="2" t="s">
        <v>2243</v>
      </c>
    </row>
    <row r="192" spans="2:41" ht="14.25" customHeight="1">
      <c r="B192" s="240" t="s">
        <v>262</v>
      </c>
      <c r="C192" s="240" t="s">
        <v>261</v>
      </c>
      <c r="D192" s="240" t="s">
        <v>260</v>
      </c>
      <c r="E192" s="240" t="s">
        <v>259</v>
      </c>
      <c r="F192" s="240" t="s">
        <v>258</v>
      </c>
      <c r="G192" s="240" t="s">
        <v>257</v>
      </c>
      <c r="H192" s="240" t="s">
        <v>2242</v>
      </c>
      <c r="J192" s="152" t="s">
        <v>262</v>
      </c>
      <c r="K192" s="152" t="s">
        <v>261</v>
      </c>
      <c r="L192" s="152" t="s">
        <v>260</v>
      </c>
      <c r="M192" s="152" t="s">
        <v>259</v>
      </c>
      <c r="N192" s="152" t="s">
        <v>258</v>
      </c>
      <c r="O192" s="152" t="s">
        <v>257</v>
      </c>
      <c r="P192" s="152" t="s">
        <v>267</v>
      </c>
      <c r="AO192" s="2" t="s">
        <v>2037</v>
      </c>
    </row>
    <row r="193" spans="2:75" ht="14.25" customHeight="1">
      <c r="B193" s="243">
        <v>626.89</v>
      </c>
      <c r="C193" s="243">
        <v>631.16999999999996</v>
      </c>
      <c r="D193" s="243">
        <v>623.11500000000001</v>
      </c>
      <c r="E193" s="243">
        <v>626.92999999999995</v>
      </c>
      <c r="F193" s="243">
        <v>9248752</v>
      </c>
      <c r="G193" s="243" t="s">
        <v>2380</v>
      </c>
      <c r="H193" s="151">
        <f>B193/E193-1</f>
        <v>-6.3802976408844359E-5</v>
      </c>
      <c r="J193" s="243">
        <v>339.3</v>
      </c>
      <c r="K193" s="243">
        <v>341.66</v>
      </c>
      <c r="L193" s="243">
        <v>338.84</v>
      </c>
      <c r="M193" s="243">
        <v>338.84</v>
      </c>
      <c r="N193" s="243">
        <v>551721</v>
      </c>
      <c r="O193" s="243" t="s">
        <v>2380</v>
      </c>
      <c r="P193" s="151">
        <f t="shared" ref="P193:P256" si="0">J193/M193-1</f>
        <v>1.3575728957622157E-3</v>
      </c>
      <c r="AO193" s="1" t="s">
        <v>647</v>
      </c>
    </row>
    <row r="194" spans="2:75" ht="14.25" customHeight="1">
      <c r="B194" s="243">
        <v>626.49</v>
      </c>
      <c r="C194" s="243">
        <v>639.52</v>
      </c>
      <c r="D194" s="243">
        <v>625.76</v>
      </c>
      <c r="E194" s="243">
        <v>638.51</v>
      </c>
      <c r="F194" s="243">
        <v>8866872</v>
      </c>
      <c r="G194" s="243" t="s">
        <v>2381</v>
      </c>
      <c r="H194" s="151">
        <f t="shared" ref="H194:H257" si="1">B194/E194-1</f>
        <v>-1.8825077132699541E-2</v>
      </c>
      <c r="J194" s="243">
        <v>338.72</v>
      </c>
      <c r="K194" s="243">
        <v>340.34</v>
      </c>
      <c r="L194" s="243">
        <v>338.05</v>
      </c>
      <c r="M194" s="243">
        <v>338.05</v>
      </c>
      <c r="N194" s="243">
        <v>778105</v>
      </c>
      <c r="O194" s="243" t="s">
        <v>2381</v>
      </c>
      <c r="P194" s="151">
        <f t="shared" si="0"/>
        <v>1.9819553320514771E-3</v>
      </c>
      <c r="AP194" s="2" t="s">
        <v>1961</v>
      </c>
    </row>
    <row r="195" spans="2:75" ht="14.25" customHeight="1">
      <c r="B195" s="243">
        <v>636.35</v>
      </c>
      <c r="C195" s="243">
        <v>641.15</v>
      </c>
      <c r="D195" s="243">
        <v>633.84</v>
      </c>
      <c r="E195" s="243">
        <v>640.49</v>
      </c>
      <c r="F195" s="243">
        <v>5317092</v>
      </c>
      <c r="G195" s="243" t="s">
        <v>2382</v>
      </c>
      <c r="H195" s="151">
        <f t="shared" si="1"/>
        <v>-6.4638011522427652E-3</v>
      </c>
      <c r="J195" s="243">
        <v>338.26</v>
      </c>
      <c r="K195" s="243">
        <v>340.12</v>
      </c>
      <c r="L195" s="243">
        <v>337.63</v>
      </c>
      <c r="M195" s="243">
        <v>338.85</v>
      </c>
      <c r="N195" s="243">
        <v>701452</v>
      </c>
      <c r="O195" s="243" t="s">
        <v>2382</v>
      </c>
      <c r="P195" s="151">
        <f t="shared" si="0"/>
        <v>-1.7411834144902549E-3</v>
      </c>
      <c r="AQ195" s="2" t="s">
        <v>1958</v>
      </c>
    </row>
    <row r="196" spans="2:75" ht="14.25" customHeight="1">
      <c r="B196" s="243">
        <v>636.44000000000005</v>
      </c>
      <c r="C196" s="243">
        <v>640.62</v>
      </c>
      <c r="D196" s="243">
        <v>636.08000000000004</v>
      </c>
      <c r="E196" s="243">
        <v>639.14</v>
      </c>
      <c r="F196" s="243">
        <v>13619951</v>
      </c>
      <c r="G196" s="243" t="s">
        <v>2383</v>
      </c>
      <c r="H196" s="151">
        <f t="shared" si="1"/>
        <v>-4.2244265732076514E-3</v>
      </c>
      <c r="J196" s="243">
        <v>338.97</v>
      </c>
      <c r="K196" s="243">
        <v>340.92</v>
      </c>
      <c r="L196" s="243">
        <v>338.7</v>
      </c>
      <c r="M196" s="243">
        <v>340.37</v>
      </c>
      <c r="N196" s="243">
        <v>838186</v>
      </c>
      <c r="O196" s="243" t="s">
        <v>2383</v>
      </c>
      <c r="P196" s="151">
        <f t="shared" si="0"/>
        <v>-4.1131709610129352E-3</v>
      </c>
      <c r="AR196" s="2" t="s">
        <v>1990</v>
      </c>
    </row>
    <row r="197" spans="2:75" ht="14.25" customHeight="1">
      <c r="B197" s="243">
        <v>638.23</v>
      </c>
      <c r="C197" s="243">
        <v>639.99</v>
      </c>
      <c r="D197" s="243">
        <v>633.11</v>
      </c>
      <c r="E197" s="243">
        <v>634.07000000000005</v>
      </c>
      <c r="F197" s="243">
        <v>8885179</v>
      </c>
      <c r="G197" s="243" t="s">
        <v>2384</v>
      </c>
      <c r="H197" s="151">
        <f t="shared" si="1"/>
        <v>6.5607898181587743E-3</v>
      </c>
      <c r="J197" s="243">
        <v>339.05</v>
      </c>
      <c r="K197" s="243">
        <v>340.85500000000002</v>
      </c>
      <c r="L197" s="243">
        <v>338.88</v>
      </c>
      <c r="M197" s="243">
        <v>340.85</v>
      </c>
      <c r="N197" s="243">
        <v>473193</v>
      </c>
      <c r="O197" s="243" t="s">
        <v>2384</v>
      </c>
      <c r="P197" s="151">
        <f t="shared" si="0"/>
        <v>-5.2809153586621527E-3</v>
      </c>
      <c r="AR197" s="2" t="s">
        <v>2056</v>
      </c>
    </row>
    <row r="198" spans="2:75" ht="14.25" customHeight="1">
      <c r="B198" s="243">
        <v>635.24</v>
      </c>
      <c r="C198" s="243">
        <v>636.72</v>
      </c>
      <c r="D198" s="243">
        <v>626.20000000000005</v>
      </c>
      <c r="E198" s="243">
        <v>626.72</v>
      </c>
      <c r="F198" s="243">
        <v>12959420</v>
      </c>
      <c r="G198" s="243" t="s">
        <v>2385</v>
      </c>
      <c r="H198" s="151">
        <f t="shared" si="1"/>
        <v>1.3594587694664151E-2</v>
      </c>
      <c r="J198" s="243">
        <v>341.02</v>
      </c>
      <c r="K198" s="243">
        <v>344.0675</v>
      </c>
      <c r="L198" s="243">
        <v>339.33</v>
      </c>
      <c r="M198" s="243">
        <v>343.63</v>
      </c>
      <c r="N198" s="243">
        <v>1160399</v>
      </c>
      <c r="O198" s="243" t="s">
        <v>2385</v>
      </c>
      <c r="P198" s="151">
        <f t="shared" si="0"/>
        <v>-7.5953787504001724E-3</v>
      </c>
      <c r="AS198" s="2" t="s">
        <v>2071</v>
      </c>
      <c r="BR198" s="17"/>
    </row>
    <row r="199" spans="2:75" ht="14.25" customHeight="1">
      <c r="B199" s="243">
        <v>623.1</v>
      </c>
      <c r="C199" s="243">
        <v>628.75</v>
      </c>
      <c r="D199" s="243">
        <v>621.5</v>
      </c>
      <c r="E199" s="243">
        <v>626.24</v>
      </c>
      <c r="F199" s="243">
        <v>11506981</v>
      </c>
      <c r="G199" s="243" t="s">
        <v>2386</v>
      </c>
      <c r="H199" s="151">
        <f t="shared" si="1"/>
        <v>-5.0140521205926936E-3</v>
      </c>
      <c r="J199" s="243">
        <v>342.01</v>
      </c>
      <c r="K199" s="243">
        <v>343.69</v>
      </c>
      <c r="L199" s="243">
        <v>339.995</v>
      </c>
      <c r="M199" s="243">
        <v>341.22</v>
      </c>
      <c r="N199" s="243">
        <v>1867799</v>
      </c>
      <c r="O199" s="243" t="s">
        <v>2386</v>
      </c>
      <c r="P199" s="151">
        <f t="shared" si="0"/>
        <v>2.3152218510051892E-3</v>
      </c>
      <c r="AP199" s="2" t="s">
        <v>2057</v>
      </c>
      <c r="BR199" s="17"/>
    </row>
    <row r="200" spans="2:75" ht="14.25" customHeight="1">
      <c r="B200" s="243">
        <v>630.91</v>
      </c>
      <c r="C200" s="243">
        <v>635.91999999999996</v>
      </c>
      <c r="D200" s="243">
        <v>627</v>
      </c>
      <c r="E200" s="243">
        <v>634.92999999999995</v>
      </c>
      <c r="F200" s="243">
        <v>11228241</v>
      </c>
      <c r="G200" s="243" t="s">
        <v>2387</v>
      </c>
      <c r="H200" s="151">
        <f t="shared" si="1"/>
        <v>-6.3314066117524659E-3</v>
      </c>
      <c r="J200" s="243">
        <v>339.92</v>
      </c>
      <c r="K200" s="243">
        <v>350.35</v>
      </c>
      <c r="L200" s="243">
        <v>339.76</v>
      </c>
      <c r="M200" s="243">
        <v>348.79</v>
      </c>
      <c r="N200" s="243">
        <v>1396553</v>
      </c>
      <c r="O200" s="243" t="s">
        <v>2387</v>
      </c>
      <c r="P200" s="151">
        <f t="shared" si="0"/>
        <v>-2.5430774964878555E-2</v>
      </c>
      <c r="AO200" s="2" t="s">
        <v>648</v>
      </c>
      <c r="BF200" s="203"/>
      <c r="BG200" s="203"/>
      <c r="BH200" s="203"/>
      <c r="BI200" s="203"/>
      <c r="BJ200" s="203"/>
      <c r="BK200" s="203"/>
      <c r="BL200" s="203"/>
      <c r="BM200" s="203"/>
      <c r="BN200" s="203"/>
      <c r="BO200" s="203"/>
      <c r="BP200" s="203"/>
      <c r="BQ200" s="203"/>
    </row>
    <row r="201" spans="2:75" ht="14.25" customHeight="1">
      <c r="B201" s="243">
        <v>634.15</v>
      </c>
      <c r="C201" s="243">
        <v>641</v>
      </c>
      <c r="D201" s="243">
        <v>629.10500000000002</v>
      </c>
      <c r="E201" s="243">
        <v>640.33000000000004</v>
      </c>
      <c r="F201" s="243">
        <v>9644195</v>
      </c>
      <c r="G201" s="243" t="s">
        <v>2388</v>
      </c>
      <c r="H201" s="151">
        <f t="shared" si="1"/>
        <v>-9.6512735620696288E-3</v>
      </c>
      <c r="J201" s="243">
        <v>356</v>
      </c>
      <c r="K201" s="243">
        <v>358.64</v>
      </c>
      <c r="L201" s="243">
        <v>355.83</v>
      </c>
      <c r="M201" s="243">
        <v>357.43</v>
      </c>
      <c r="N201" s="243">
        <v>1112810</v>
      </c>
      <c r="O201" s="243" t="s">
        <v>2388</v>
      </c>
      <c r="P201" s="151">
        <f t="shared" si="0"/>
        <v>-4.0007833701704021E-3</v>
      </c>
      <c r="AP201" s="2" t="s">
        <v>1908</v>
      </c>
      <c r="BF201" s="203"/>
      <c r="BG201" s="203"/>
      <c r="BH201" s="203"/>
      <c r="BI201" s="203"/>
      <c r="BJ201" s="203"/>
      <c r="BK201" s="203"/>
      <c r="BL201" s="203"/>
      <c r="BM201" s="203"/>
      <c r="BN201" s="203"/>
      <c r="BO201" s="203"/>
      <c r="BP201" s="203"/>
      <c r="BQ201" s="203"/>
    </row>
    <row r="202" spans="2:75" ht="14.25" customHeight="1">
      <c r="B202" s="243">
        <v>639.67999999999995</v>
      </c>
      <c r="C202" s="243">
        <v>640.96</v>
      </c>
      <c r="D202" s="243">
        <v>634.07000000000005</v>
      </c>
      <c r="E202" s="243">
        <v>634.17999999999995</v>
      </c>
      <c r="F202" s="243">
        <v>9124531</v>
      </c>
      <c r="G202" s="243" t="s">
        <v>2389</v>
      </c>
      <c r="H202" s="151">
        <f t="shared" si="1"/>
        <v>8.6726166072723654E-3</v>
      </c>
      <c r="J202" s="243">
        <v>356.99</v>
      </c>
      <c r="K202" s="243">
        <v>359.87</v>
      </c>
      <c r="L202" s="243">
        <v>356.88</v>
      </c>
      <c r="M202" s="243">
        <v>358.78</v>
      </c>
      <c r="N202" s="243">
        <v>842701</v>
      </c>
      <c r="O202" s="243" t="s">
        <v>2389</v>
      </c>
      <c r="P202" s="151">
        <f t="shared" si="0"/>
        <v>-4.9891298288643471E-3</v>
      </c>
      <c r="AQ202" s="1" t="s">
        <v>1897</v>
      </c>
      <c r="BC202" s="203"/>
      <c r="BD202" s="203"/>
      <c r="BE202" s="203"/>
      <c r="BF202" s="203"/>
      <c r="BG202" s="203"/>
      <c r="BH202" s="203"/>
      <c r="BI202" s="203"/>
      <c r="BJ202" s="203"/>
      <c r="BK202" s="203"/>
      <c r="BL202" s="203"/>
      <c r="BM202" s="203"/>
      <c r="BN202" s="203"/>
      <c r="BO202" s="203"/>
      <c r="BP202" s="203"/>
      <c r="BQ202" s="203"/>
    </row>
    <row r="203" spans="2:75" ht="14.25" customHeight="1">
      <c r="B203" s="243">
        <v>636.22</v>
      </c>
      <c r="C203" s="243">
        <v>638.45000000000005</v>
      </c>
      <c r="D203" s="243">
        <v>631.95000000000005</v>
      </c>
      <c r="E203" s="243">
        <v>636.25</v>
      </c>
      <c r="F203" s="243">
        <v>6519552</v>
      </c>
      <c r="G203" s="243" t="s">
        <v>2390</v>
      </c>
      <c r="H203" s="151">
        <f t="shared" si="1"/>
        <v>-4.71512770137128E-5</v>
      </c>
      <c r="J203" s="243">
        <v>358.17</v>
      </c>
      <c r="K203" s="243">
        <v>360.44</v>
      </c>
      <c r="L203" s="243">
        <v>357.15499999999997</v>
      </c>
      <c r="M203" s="243">
        <v>358.12</v>
      </c>
      <c r="N203" s="243">
        <v>1135733</v>
      </c>
      <c r="O203" s="243" t="s">
        <v>2390</v>
      </c>
      <c r="P203" s="151">
        <f t="shared" si="0"/>
        <v>1.3961800513806466E-4</v>
      </c>
      <c r="AP203" s="2" t="s">
        <v>1909</v>
      </c>
      <c r="BC203" s="203"/>
      <c r="BD203" s="203"/>
      <c r="BE203" s="203"/>
      <c r="BF203" s="203"/>
      <c r="BG203" s="203"/>
      <c r="BH203" s="203"/>
      <c r="BI203" s="203"/>
      <c r="BJ203" s="203"/>
      <c r="BK203" s="203"/>
      <c r="BL203" s="203"/>
      <c r="BM203" s="203"/>
      <c r="BN203" s="203"/>
      <c r="BO203" s="203"/>
      <c r="BP203" s="203"/>
      <c r="BQ203" s="203"/>
    </row>
    <row r="204" spans="2:75" ht="14.25" customHeight="1">
      <c r="B204" s="243">
        <v>638.27</v>
      </c>
      <c r="C204" s="243">
        <v>641.04</v>
      </c>
      <c r="D204" s="243">
        <v>629.82000000000005</v>
      </c>
      <c r="E204" s="243">
        <v>640.42999999999995</v>
      </c>
      <c r="F204" s="243">
        <v>8485857</v>
      </c>
      <c r="G204" s="243" t="s">
        <v>2391</v>
      </c>
      <c r="H204" s="151">
        <f t="shared" si="1"/>
        <v>-3.37273394438109E-3</v>
      </c>
      <c r="J204" s="243">
        <v>357</v>
      </c>
      <c r="K204" s="243">
        <v>360.4</v>
      </c>
      <c r="L204" s="243">
        <v>356.39</v>
      </c>
      <c r="M204" s="243">
        <v>359.32</v>
      </c>
      <c r="N204" s="243">
        <v>1535013</v>
      </c>
      <c r="O204" s="243" t="s">
        <v>2391</v>
      </c>
      <c r="P204" s="151">
        <f t="shared" si="0"/>
        <v>-6.4566403206055556E-3</v>
      </c>
      <c r="AO204" s="2" t="s">
        <v>1975</v>
      </c>
      <c r="BC204" s="203"/>
      <c r="BD204" s="203"/>
      <c r="BE204" s="203"/>
      <c r="BF204" s="203"/>
      <c r="BG204" s="203"/>
      <c r="BH204" s="203"/>
      <c r="BI204" s="203"/>
      <c r="BJ204" s="203"/>
      <c r="BK204" s="203"/>
      <c r="BL204" s="203"/>
      <c r="BM204" s="203"/>
      <c r="BN204" s="17"/>
      <c r="BO204" s="12"/>
      <c r="BP204" s="12"/>
      <c r="BQ204" s="17"/>
    </row>
    <row r="205" spans="2:75" ht="14.25" customHeight="1">
      <c r="B205" s="243">
        <v>639.6</v>
      </c>
      <c r="C205" s="243">
        <v>641.80999999999995</v>
      </c>
      <c r="D205" s="243">
        <v>638.22</v>
      </c>
      <c r="E205" s="243">
        <v>641.04999999999995</v>
      </c>
      <c r="F205" s="243">
        <v>5488373</v>
      </c>
      <c r="G205" s="243" t="s">
        <v>2392</v>
      </c>
      <c r="H205" s="151">
        <f t="shared" si="1"/>
        <v>-2.2619140472660559E-3</v>
      </c>
      <c r="J205" s="243">
        <v>359.03</v>
      </c>
      <c r="K205" s="243">
        <v>361.05</v>
      </c>
      <c r="L205" s="243">
        <v>359.03</v>
      </c>
      <c r="M205" s="243">
        <v>359.3</v>
      </c>
      <c r="N205" s="243">
        <v>1319109</v>
      </c>
      <c r="O205" s="243" t="s">
        <v>2392</v>
      </c>
      <c r="P205" s="151">
        <f t="shared" si="0"/>
        <v>-7.5146117450608507E-4</v>
      </c>
      <c r="AO205" s="2" t="s">
        <v>1570</v>
      </c>
      <c r="BC205" s="203"/>
      <c r="BD205" s="203"/>
      <c r="BE205" s="203"/>
    </row>
    <row r="206" spans="2:75" ht="14.25" customHeight="1">
      <c r="B206" s="243">
        <v>639.70000000000005</v>
      </c>
      <c r="C206" s="243">
        <v>640.59590000000003</v>
      </c>
      <c r="D206" s="243">
        <v>637.87</v>
      </c>
      <c r="E206" s="243">
        <v>638.41999999999996</v>
      </c>
      <c r="F206" s="243">
        <v>4308306</v>
      </c>
      <c r="G206" s="243" t="s">
        <v>2393</v>
      </c>
      <c r="H206" s="151">
        <f t="shared" si="1"/>
        <v>2.0049497196203969E-3</v>
      </c>
      <c r="J206" s="243">
        <v>359.4</v>
      </c>
      <c r="K206" s="243">
        <v>360</v>
      </c>
      <c r="L206" s="243">
        <v>358.36</v>
      </c>
      <c r="M206" s="243">
        <v>358.76</v>
      </c>
      <c r="N206" s="243">
        <v>887777</v>
      </c>
      <c r="O206" s="243" t="s">
        <v>2393</v>
      </c>
      <c r="P206" s="151">
        <f t="shared" si="0"/>
        <v>1.783922399375637E-3</v>
      </c>
      <c r="AP206" s="2" t="s">
        <v>1966</v>
      </c>
    </row>
    <row r="207" spans="2:75" ht="14.25" customHeight="1">
      <c r="B207" s="243">
        <v>637.09</v>
      </c>
      <c r="C207" s="243">
        <v>638.39</v>
      </c>
      <c r="D207" s="243">
        <v>634.52</v>
      </c>
      <c r="E207" s="243">
        <v>635.03</v>
      </c>
      <c r="F207" s="243">
        <v>8976388</v>
      </c>
      <c r="G207" s="243" t="s">
        <v>2394</v>
      </c>
      <c r="H207" s="151">
        <f t="shared" si="1"/>
        <v>3.2439412311229265E-3</v>
      </c>
      <c r="J207" s="243">
        <v>359</v>
      </c>
      <c r="K207" s="243">
        <v>361.55</v>
      </c>
      <c r="L207" s="243">
        <v>358.75</v>
      </c>
      <c r="M207" s="243">
        <v>360</v>
      </c>
      <c r="N207" s="243">
        <v>934051</v>
      </c>
      <c r="O207" s="243" t="s">
        <v>2394</v>
      </c>
      <c r="P207" s="151">
        <f t="shared" si="0"/>
        <v>-2.7777777777777679E-3</v>
      </c>
      <c r="AP207" s="2" t="s">
        <v>1963</v>
      </c>
      <c r="AV207" s="203"/>
      <c r="AW207" s="203"/>
      <c r="AX207" s="203"/>
      <c r="AY207" s="203"/>
      <c r="AZ207" s="203"/>
      <c r="BA207" s="203"/>
      <c r="BB207" s="203"/>
      <c r="BF207" s="12"/>
      <c r="BG207" s="12"/>
      <c r="BH207" s="12"/>
      <c r="BI207" s="12"/>
      <c r="BJ207" s="12"/>
      <c r="BK207" s="12"/>
      <c r="BL207" s="12"/>
      <c r="BM207" s="12"/>
      <c r="BN207" s="12"/>
      <c r="BO207" s="12"/>
      <c r="BP207" s="12"/>
      <c r="BQ207" s="12"/>
      <c r="BR207" s="17"/>
    </row>
    <row r="208" spans="2:75" ht="14.25" customHeight="1">
      <c r="B208" s="243">
        <v>633.83000000000004</v>
      </c>
      <c r="C208" s="243">
        <v>635.47050000000002</v>
      </c>
      <c r="D208" s="243">
        <v>631.97</v>
      </c>
      <c r="E208" s="243">
        <v>632.88</v>
      </c>
      <c r="F208" s="243">
        <v>5827254</v>
      </c>
      <c r="G208" s="243" t="s">
        <v>2395</v>
      </c>
      <c r="H208" s="151">
        <f t="shared" si="1"/>
        <v>1.5010744532930609E-3</v>
      </c>
      <c r="J208" s="243">
        <v>359.26</v>
      </c>
      <c r="K208" s="243">
        <v>360.49</v>
      </c>
      <c r="L208" s="243">
        <v>358.21</v>
      </c>
      <c r="M208" s="243">
        <v>358.44</v>
      </c>
      <c r="N208" s="243">
        <v>1038857</v>
      </c>
      <c r="O208" s="243" t="s">
        <v>2395</v>
      </c>
      <c r="P208" s="151">
        <f t="shared" si="0"/>
        <v>2.2876911059033223E-3</v>
      </c>
      <c r="AQ208" s="285" t="s">
        <v>2209</v>
      </c>
      <c r="AR208" s="285"/>
      <c r="AS208" s="285"/>
      <c r="AT208" s="285"/>
      <c r="AU208" s="285"/>
      <c r="AV208" s="285"/>
      <c r="AW208" s="285"/>
      <c r="AX208" s="285"/>
      <c r="AY208" s="285"/>
      <c r="AZ208" s="285"/>
      <c r="BA208" s="285"/>
      <c r="BB208" s="285"/>
      <c r="BC208" s="285"/>
      <c r="BD208" s="285"/>
      <c r="BE208" s="285"/>
      <c r="BF208" s="285"/>
      <c r="BG208" s="285"/>
      <c r="BH208" s="285"/>
      <c r="BI208" s="285"/>
      <c r="BJ208" s="285"/>
      <c r="BK208" s="285"/>
      <c r="BL208" s="285"/>
      <c r="BM208" s="285"/>
      <c r="BN208" s="285"/>
      <c r="BO208" s="285"/>
      <c r="BP208" s="285"/>
      <c r="BQ208" s="285"/>
      <c r="BR208" s="285"/>
      <c r="BS208" s="285"/>
      <c r="BT208" s="285"/>
      <c r="BU208" s="285"/>
      <c r="BV208" s="285"/>
      <c r="BW208" s="285"/>
    </row>
    <row r="209" spans="2:75" ht="14.25" customHeight="1">
      <c r="B209" s="243">
        <v>633.57000000000005</v>
      </c>
      <c r="C209" s="243">
        <v>635.62</v>
      </c>
      <c r="D209" s="243">
        <v>631.75</v>
      </c>
      <c r="E209" s="243">
        <v>634.42999999999995</v>
      </c>
      <c r="F209" s="243">
        <v>6057784</v>
      </c>
      <c r="G209" s="243" t="s">
        <v>2396</v>
      </c>
      <c r="H209" s="151">
        <f t="shared" si="1"/>
        <v>-1.3555474993299788E-3</v>
      </c>
      <c r="J209" s="243">
        <v>358.53</v>
      </c>
      <c r="K209" s="243">
        <v>360.85</v>
      </c>
      <c r="L209" s="243">
        <v>357.68</v>
      </c>
      <c r="M209" s="243">
        <v>357.72</v>
      </c>
      <c r="N209" s="243">
        <v>1492454</v>
      </c>
      <c r="O209" s="243" t="s">
        <v>2396</v>
      </c>
      <c r="P209" s="151">
        <f t="shared" si="0"/>
        <v>2.2643408252263075E-3</v>
      </c>
      <c r="AQ209" s="285"/>
      <c r="AR209" s="285"/>
      <c r="AS209" s="285"/>
      <c r="AT209" s="285"/>
      <c r="AU209" s="285"/>
      <c r="AV209" s="285"/>
      <c r="AW209" s="285"/>
      <c r="AX209" s="285"/>
      <c r="AY209" s="285"/>
      <c r="AZ209" s="285"/>
      <c r="BA209" s="285"/>
      <c r="BB209" s="285"/>
      <c r="BC209" s="285"/>
      <c r="BD209" s="285"/>
      <c r="BE209" s="285"/>
      <c r="BF209" s="285"/>
      <c r="BG209" s="285"/>
      <c r="BH209" s="285"/>
      <c r="BI209" s="285"/>
      <c r="BJ209" s="285"/>
      <c r="BK209" s="285"/>
      <c r="BL209" s="285"/>
      <c r="BM209" s="285"/>
      <c r="BN209" s="285"/>
      <c r="BO209" s="285"/>
      <c r="BP209" s="285"/>
      <c r="BQ209" s="285"/>
      <c r="BR209" s="285"/>
      <c r="BS209" s="285"/>
      <c r="BT209" s="285"/>
      <c r="BU209" s="285"/>
      <c r="BV209" s="285"/>
      <c r="BW209" s="285"/>
    </row>
    <row r="210" spans="2:75" ht="14.25" customHeight="1">
      <c r="B210" s="243">
        <v>630.29</v>
      </c>
      <c r="C210" s="243">
        <v>633.4</v>
      </c>
      <c r="D210" s="243">
        <v>623.65</v>
      </c>
      <c r="E210" s="243">
        <v>625.02</v>
      </c>
      <c r="F210" s="243">
        <v>10354978</v>
      </c>
      <c r="G210" s="243" t="s">
        <v>2397</v>
      </c>
      <c r="H210" s="151">
        <f t="shared" si="1"/>
        <v>8.4317301846341675E-3</v>
      </c>
      <c r="J210" s="243">
        <v>357.68</v>
      </c>
      <c r="K210" s="243">
        <v>362.41</v>
      </c>
      <c r="L210" s="243">
        <v>355.16</v>
      </c>
      <c r="M210" s="243">
        <v>357.7</v>
      </c>
      <c r="N210" s="243">
        <v>2738967</v>
      </c>
      <c r="O210" s="243" t="s">
        <v>2397</v>
      </c>
      <c r="P210" s="151">
        <f t="shared" si="0"/>
        <v>-5.5912776069311221E-5</v>
      </c>
      <c r="AQ210" s="285"/>
      <c r="AR210" s="285"/>
      <c r="AS210" s="285"/>
      <c r="AT210" s="285"/>
      <c r="AU210" s="285"/>
      <c r="AV210" s="285"/>
      <c r="AW210" s="285"/>
      <c r="AX210" s="285"/>
      <c r="AY210" s="285"/>
      <c r="AZ210" s="285"/>
      <c r="BA210" s="285"/>
      <c r="BB210" s="285"/>
      <c r="BC210" s="285"/>
      <c r="BD210" s="285"/>
      <c r="BE210" s="285"/>
      <c r="BF210" s="285"/>
      <c r="BG210" s="285"/>
      <c r="BH210" s="285"/>
      <c r="BI210" s="285"/>
      <c r="BJ210" s="285"/>
      <c r="BK210" s="285"/>
      <c r="BL210" s="285"/>
      <c r="BM210" s="285"/>
      <c r="BN210" s="285"/>
      <c r="BO210" s="285"/>
      <c r="BP210" s="285"/>
      <c r="BQ210" s="285"/>
      <c r="BR210" s="285"/>
      <c r="BS210" s="285"/>
      <c r="BT210" s="285"/>
      <c r="BU210" s="285"/>
      <c r="BV210" s="285"/>
      <c r="BW210" s="285"/>
    </row>
    <row r="211" spans="2:75" ht="14.25" customHeight="1">
      <c r="B211" s="243">
        <v>623.15</v>
      </c>
      <c r="C211" s="243">
        <v>629.75990000000002</v>
      </c>
      <c r="D211" s="243">
        <v>622.22</v>
      </c>
      <c r="E211" s="243">
        <v>626.76</v>
      </c>
      <c r="F211" s="243">
        <v>14877629</v>
      </c>
      <c r="G211" s="243" t="s">
        <v>2398</v>
      </c>
      <c r="H211" s="151">
        <f t="shared" si="1"/>
        <v>-5.7597804582296686E-3</v>
      </c>
      <c r="J211" s="243">
        <v>355.44</v>
      </c>
      <c r="K211" s="243">
        <v>356.65</v>
      </c>
      <c r="L211" s="243">
        <v>350.02</v>
      </c>
      <c r="M211" s="243">
        <v>350.8</v>
      </c>
      <c r="N211" s="243">
        <v>3182888</v>
      </c>
      <c r="O211" s="243" t="s">
        <v>2398</v>
      </c>
      <c r="P211" s="151">
        <f t="shared" si="0"/>
        <v>1.3226909920182495E-2</v>
      </c>
      <c r="AP211" s="2" t="s">
        <v>2210</v>
      </c>
      <c r="BC211" s="12"/>
      <c r="BD211" s="12"/>
      <c r="BE211" s="12"/>
      <c r="BF211" s="12"/>
      <c r="BG211" s="12"/>
      <c r="BH211" s="12"/>
      <c r="BI211" s="12"/>
      <c r="BJ211" s="12"/>
      <c r="BK211" s="12"/>
      <c r="BL211" s="12"/>
      <c r="BM211" s="12"/>
    </row>
    <row r="212" spans="2:75" ht="14.25" customHeight="1">
      <c r="B212" s="243">
        <v>636.09</v>
      </c>
      <c r="C212" s="243">
        <v>638.50990000000002</v>
      </c>
      <c r="D212" s="243">
        <v>634.67999999999995</v>
      </c>
      <c r="E212" s="243">
        <v>637.96</v>
      </c>
      <c r="F212" s="243">
        <v>6694041</v>
      </c>
      <c r="G212" s="243" t="s">
        <v>2399</v>
      </c>
      <c r="H212" s="151">
        <f t="shared" si="1"/>
        <v>-2.9312182581979762E-3</v>
      </c>
      <c r="J212" s="243">
        <v>350.78</v>
      </c>
      <c r="K212" s="243">
        <v>352.07499999999999</v>
      </c>
      <c r="L212" s="243">
        <v>349.12</v>
      </c>
      <c r="M212" s="243">
        <v>349.99</v>
      </c>
      <c r="N212" s="243">
        <v>3292044</v>
      </c>
      <c r="O212" s="243" t="s">
        <v>2399</v>
      </c>
      <c r="P212" s="151">
        <f t="shared" si="0"/>
        <v>2.2572073487812094E-3</v>
      </c>
      <c r="AQ212" s="2" t="s">
        <v>2211</v>
      </c>
      <c r="BC212" s="12"/>
      <c r="BD212" s="12"/>
      <c r="BE212" s="12"/>
    </row>
    <row r="213" spans="2:75" ht="14.25" customHeight="1">
      <c r="B213" s="243">
        <v>636.62</v>
      </c>
      <c r="C213" s="243">
        <v>639.58000000000004</v>
      </c>
      <c r="D213" s="243">
        <v>635.70000000000005</v>
      </c>
      <c r="E213" s="243">
        <v>638.77</v>
      </c>
      <c r="F213" s="243">
        <v>6751601</v>
      </c>
      <c r="G213" s="243" t="s">
        <v>2400</v>
      </c>
      <c r="H213" s="151">
        <f t="shared" si="1"/>
        <v>-3.3658437309203038E-3</v>
      </c>
      <c r="J213" s="243">
        <v>350.49</v>
      </c>
      <c r="K213" s="243">
        <v>352.15</v>
      </c>
      <c r="L213" s="243">
        <v>345.2</v>
      </c>
      <c r="M213" s="243">
        <v>348.11</v>
      </c>
      <c r="N213" s="243">
        <v>9638818</v>
      </c>
      <c r="O213" s="243" t="s">
        <v>2400</v>
      </c>
      <c r="P213" s="151">
        <f t="shared" si="0"/>
        <v>6.8369193645687609E-3</v>
      </c>
      <c r="AP213" s="2" t="s">
        <v>2212</v>
      </c>
      <c r="AV213" s="12"/>
      <c r="AW213" s="12"/>
      <c r="AX213" s="12"/>
      <c r="AY213" s="12"/>
      <c r="AZ213" s="12"/>
      <c r="BA213" s="12"/>
      <c r="BB213" s="12"/>
    </row>
    <row r="214" spans="2:75" ht="14.25" customHeight="1">
      <c r="B214" s="243">
        <v>634.94000000000005</v>
      </c>
      <c r="C214" s="243">
        <v>636.11900000000003</v>
      </c>
      <c r="D214" s="243">
        <v>631</v>
      </c>
      <c r="E214" s="243">
        <v>635.49</v>
      </c>
      <c r="F214" s="243">
        <v>8576256</v>
      </c>
      <c r="G214" s="243" t="s">
        <v>2401</v>
      </c>
      <c r="H214" s="151">
        <f t="shared" si="1"/>
        <v>-8.6547388629243382E-4</v>
      </c>
      <c r="J214" s="243">
        <v>313.43</v>
      </c>
      <c r="K214" s="243">
        <v>316.92</v>
      </c>
      <c r="L214" s="243">
        <v>296.61</v>
      </c>
      <c r="M214" s="243">
        <v>300.5</v>
      </c>
      <c r="N214" s="243">
        <v>918771</v>
      </c>
      <c r="O214" s="243" t="s">
        <v>2401</v>
      </c>
      <c r="P214" s="151">
        <f t="shared" si="0"/>
        <v>4.3028286189683795E-2</v>
      </c>
      <c r="AQ214" s="283" t="s">
        <v>2213</v>
      </c>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row>
    <row r="215" spans="2:75" ht="14.25" customHeight="1">
      <c r="B215" s="243">
        <v>638.03</v>
      </c>
      <c r="C215" s="243">
        <v>640.15070000000003</v>
      </c>
      <c r="D215" s="243">
        <v>635.81500000000005</v>
      </c>
      <c r="E215" s="243">
        <v>639.67999999999995</v>
      </c>
      <c r="F215" s="243">
        <v>8837128</v>
      </c>
      <c r="G215" s="243" t="s">
        <v>2402</v>
      </c>
      <c r="H215" s="151">
        <f t="shared" si="1"/>
        <v>-2.5794147073536777E-3</v>
      </c>
      <c r="J215" s="243">
        <v>300.97000000000003</v>
      </c>
      <c r="K215" s="243">
        <v>317.77</v>
      </c>
      <c r="L215" s="243">
        <v>290</v>
      </c>
      <c r="M215" s="243">
        <v>317.77</v>
      </c>
      <c r="N215" s="243">
        <v>1366192</v>
      </c>
      <c r="O215" s="243" t="s">
        <v>2402</v>
      </c>
      <c r="P215" s="151">
        <f t="shared" si="0"/>
        <v>-5.2868426849608019E-2</v>
      </c>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row>
    <row r="216" spans="2:75" ht="14.25" customHeight="1">
      <c r="B216" s="243">
        <v>639.34</v>
      </c>
      <c r="C216" s="243">
        <v>640.16</v>
      </c>
      <c r="D216" s="243">
        <v>635.16</v>
      </c>
      <c r="E216" s="243">
        <v>635.19000000000005</v>
      </c>
      <c r="F216" s="243">
        <v>7889884</v>
      </c>
      <c r="G216" s="243" t="s">
        <v>2403</v>
      </c>
      <c r="H216" s="151">
        <f t="shared" si="1"/>
        <v>6.5334781718855428E-3</v>
      </c>
      <c r="J216" s="243">
        <v>319.47000000000003</v>
      </c>
      <c r="K216" s="243">
        <v>323.66000000000003</v>
      </c>
      <c r="L216" s="243">
        <v>310</v>
      </c>
      <c r="M216" s="243">
        <v>322.25</v>
      </c>
      <c r="N216" s="243">
        <v>893904</v>
      </c>
      <c r="O216" s="243" t="s">
        <v>2403</v>
      </c>
      <c r="P216" s="151">
        <f t="shared" si="0"/>
        <v>-8.6268425135763716E-3</v>
      </c>
      <c r="AQ216" s="283" t="s">
        <v>2214</v>
      </c>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row>
    <row r="217" spans="2:75" ht="14.25" customHeight="1">
      <c r="B217" s="243">
        <v>638.30999999999995</v>
      </c>
      <c r="C217" s="243">
        <v>639.44000000000005</v>
      </c>
      <c r="D217" s="243">
        <v>633.79999999999995</v>
      </c>
      <c r="E217" s="243">
        <v>635.15</v>
      </c>
      <c r="F217" s="243">
        <v>7843716</v>
      </c>
      <c r="G217" s="243" t="s">
        <v>2404</v>
      </c>
      <c r="H217" s="151">
        <f t="shared" si="1"/>
        <v>4.9752027080216532E-3</v>
      </c>
      <c r="J217" s="243">
        <v>322.44</v>
      </c>
      <c r="K217" s="243">
        <v>325.02499999999998</v>
      </c>
      <c r="L217" s="243">
        <v>315.49</v>
      </c>
      <c r="M217" s="243">
        <v>317.39</v>
      </c>
      <c r="N217" s="243">
        <v>871882</v>
      </c>
      <c r="O217" s="243" t="s">
        <v>2404</v>
      </c>
      <c r="P217" s="151">
        <f t="shared" si="0"/>
        <v>1.5911024291880738E-2</v>
      </c>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row>
    <row r="218" spans="2:75" ht="14.25" customHeight="1">
      <c r="B218" s="243">
        <v>634.05999999999995</v>
      </c>
      <c r="C218" s="243">
        <v>635.1001</v>
      </c>
      <c r="D218" s="243">
        <v>632.23620000000005</v>
      </c>
      <c r="E218" s="243">
        <v>633.48</v>
      </c>
      <c r="F218" s="243">
        <v>8962799</v>
      </c>
      <c r="G218" s="243" t="s">
        <v>2405</v>
      </c>
      <c r="H218" s="151">
        <f t="shared" si="1"/>
        <v>9.155774452231924E-4</v>
      </c>
      <c r="J218" s="243">
        <v>315.54000000000002</v>
      </c>
      <c r="K218" s="243">
        <v>317.85000000000002</v>
      </c>
      <c r="L218" s="243">
        <v>311.25</v>
      </c>
      <c r="M218" s="243">
        <v>315.48</v>
      </c>
      <c r="N218" s="243">
        <v>491162</v>
      </c>
      <c r="O218" s="243" t="s">
        <v>2405</v>
      </c>
      <c r="P218" s="151">
        <f t="shared" si="0"/>
        <v>1.9018638265499987E-4</v>
      </c>
      <c r="AO218" s="2" t="s">
        <v>1830</v>
      </c>
      <c r="AT218" s="12"/>
      <c r="AU218" s="12"/>
      <c r="BR218" s="17"/>
      <c r="BS218" s="17"/>
      <c r="BT218" s="17"/>
      <c r="BU218" s="17"/>
    </row>
    <row r="219" spans="2:75" ht="14.25" customHeight="1">
      <c r="B219" s="243">
        <v>634.16999999999996</v>
      </c>
      <c r="C219" s="243">
        <v>638.22</v>
      </c>
      <c r="D219" s="243">
        <v>633.92999999999995</v>
      </c>
      <c r="E219" s="243">
        <v>636.58000000000004</v>
      </c>
      <c r="F219" s="243">
        <v>8796759</v>
      </c>
      <c r="G219" s="243" t="s">
        <v>2406</v>
      </c>
      <c r="H219" s="151">
        <f t="shared" si="1"/>
        <v>-3.7858556662164755E-3</v>
      </c>
      <c r="J219" s="243">
        <v>316.14999999999998</v>
      </c>
      <c r="K219" s="243">
        <v>317.17</v>
      </c>
      <c r="L219" s="243">
        <v>305.3</v>
      </c>
      <c r="M219" s="243">
        <v>315.11</v>
      </c>
      <c r="N219" s="243">
        <v>568404</v>
      </c>
      <c r="O219" s="243" t="s">
        <v>2406</v>
      </c>
      <c r="P219" s="151">
        <f t="shared" si="0"/>
        <v>3.3004347688108115E-3</v>
      </c>
      <c r="AP219" s="2" t="s">
        <v>1831</v>
      </c>
    </row>
    <row r="220" spans="2:75" ht="14.25" customHeight="1">
      <c r="B220" s="243">
        <v>636.21</v>
      </c>
      <c r="C220" s="243">
        <v>636.67999999999995</v>
      </c>
      <c r="D220" s="243">
        <v>632.53</v>
      </c>
      <c r="E220" s="243">
        <v>632.64</v>
      </c>
      <c r="F220" s="243">
        <v>8630900</v>
      </c>
      <c r="G220" s="243" t="s">
        <v>2407</v>
      </c>
      <c r="H220" s="151">
        <f t="shared" si="1"/>
        <v>5.6430197268588778E-3</v>
      </c>
      <c r="J220" s="243">
        <v>316.97000000000003</v>
      </c>
      <c r="K220" s="243">
        <v>320.41669999999999</v>
      </c>
      <c r="L220" s="243">
        <v>310.70999999999998</v>
      </c>
      <c r="M220" s="243">
        <v>312.64</v>
      </c>
      <c r="N220" s="243">
        <v>623275</v>
      </c>
      <c r="O220" s="243" t="s">
        <v>2407</v>
      </c>
      <c r="P220" s="151">
        <f t="shared" si="0"/>
        <v>1.3849795291709377E-2</v>
      </c>
      <c r="AQ220" s="2" t="s">
        <v>1971</v>
      </c>
    </row>
    <row r="221" spans="2:75" ht="14.25" customHeight="1">
      <c r="B221" s="243">
        <v>632.46</v>
      </c>
      <c r="C221" s="243">
        <v>634.04</v>
      </c>
      <c r="D221" s="243">
        <v>631.23</v>
      </c>
      <c r="E221" s="243">
        <v>631.38</v>
      </c>
      <c r="F221" s="243">
        <v>16140408</v>
      </c>
      <c r="G221" s="243" t="s">
        <v>2408</v>
      </c>
      <c r="H221" s="151">
        <f t="shared" si="1"/>
        <v>1.7105388197282689E-3</v>
      </c>
      <c r="J221" s="243">
        <v>315</v>
      </c>
      <c r="K221" s="243">
        <v>315.20999999999998</v>
      </c>
      <c r="L221" s="243">
        <v>306.98500000000001</v>
      </c>
      <c r="M221" s="243">
        <v>310</v>
      </c>
      <c r="N221" s="243">
        <v>357503</v>
      </c>
      <c r="O221" s="243" t="s">
        <v>2408</v>
      </c>
      <c r="P221" s="151">
        <f t="shared" si="0"/>
        <v>1.6129032258064502E-2</v>
      </c>
      <c r="AQ221" s="2" t="s">
        <v>1976</v>
      </c>
    </row>
    <row r="222" spans="2:75" ht="14.25" customHeight="1">
      <c r="B222" s="243">
        <v>628.29999999999995</v>
      </c>
      <c r="C222" s="243">
        <v>631.66</v>
      </c>
      <c r="D222" s="243">
        <v>625.21</v>
      </c>
      <c r="E222" s="243">
        <v>630.63499999999999</v>
      </c>
      <c r="F222" s="243">
        <v>10997544</v>
      </c>
      <c r="G222" s="243" t="s">
        <v>2409</v>
      </c>
      <c r="H222" s="151">
        <f t="shared" si="1"/>
        <v>-3.7026172032951221E-3</v>
      </c>
      <c r="J222" s="243">
        <v>309.42</v>
      </c>
      <c r="K222" s="243">
        <v>314.27</v>
      </c>
      <c r="L222" s="243">
        <v>302.19</v>
      </c>
      <c r="M222" s="243">
        <v>310.72000000000003</v>
      </c>
      <c r="N222" s="243">
        <v>330228</v>
      </c>
      <c r="O222" s="243" t="s">
        <v>2409</v>
      </c>
      <c r="P222" s="151">
        <f t="shared" si="0"/>
        <v>-4.1838311019567476E-3</v>
      </c>
      <c r="AR222" s="2" t="s">
        <v>1982</v>
      </c>
    </row>
    <row r="223" spans="2:75" ht="14.25" customHeight="1">
      <c r="B223" s="243">
        <v>627.13</v>
      </c>
      <c r="C223" s="243">
        <v>632.14</v>
      </c>
      <c r="D223" s="243">
        <v>626.94000000000005</v>
      </c>
      <c r="E223" s="243">
        <v>631.94000000000005</v>
      </c>
      <c r="F223" s="243">
        <v>5511193</v>
      </c>
      <c r="G223" s="243" t="s">
        <v>2410</v>
      </c>
      <c r="H223" s="151">
        <f t="shared" si="1"/>
        <v>-7.6114821027313262E-3</v>
      </c>
      <c r="J223" s="243">
        <v>310.91000000000003</v>
      </c>
      <c r="K223" s="243">
        <v>319</v>
      </c>
      <c r="L223" s="243">
        <v>310.81</v>
      </c>
      <c r="M223" s="243">
        <v>314.25</v>
      </c>
      <c r="N223" s="243">
        <v>204578</v>
      </c>
      <c r="O223" s="243" t="s">
        <v>2410</v>
      </c>
      <c r="P223" s="151">
        <f t="shared" si="0"/>
        <v>-1.0628480509148663E-2</v>
      </c>
      <c r="R223" s="2" t="s">
        <v>1448</v>
      </c>
    </row>
    <row r="224" spans="2:75" ht="14.25" customHeight="1">
      <c r="B224" s="243">
        <v>631.72</v>
      </c>
      <c r="C224" s="243">
        <v>633.21</v>
      </c>
      <c r="D224" s="243">
        <v>631.41</v>
      </c>
      <c r="E224" s="243">
        <v>632.20000000000005</v>
      </c>
      <c r="F224" s="243">
        <v>4150867</v>
      </c>
      <c r="G224" s="243" t="s">
        <v>2411</v>
      </c>
      <c r="H224" s="151">
        <f t="shared" si="1"/>
        <v>-7.5925340082250159E-4</v>
      </c>
      <c r="J224" s="243">
        <v>314.27</v>
      </c>
      <c r="K224" s="243">
        <v>319.68</v>
      </c>
      <c r="L224" s="243">
        <v>312.82</v>
      </c>
      <c r="M224" s="243">
        <v>316.5</v>
      </c>
      <c r="N224" s="243">
        <v>237654</v>
      </c>
      <c r="O224" s="243" t="s">
        <v>2411</v>
      </c>
      <c r="P224" s="151">
        <f t="shared" si="0"/>
        <v>-7.0458135860980153E-3</v>
      </c>
      <c r="S224" s="2" t="s">
        <v>1571</v>
      </c>
    </row>
    <row r="225" spans="2:40" ht="14.25" customHeight="1">
      <c r="B225" s="243">
        <v>632.6</v>
      </c>
      <c r="C225" s="243">
        <v>633.79</v>
      </c>
      <c r="D225" s="243">
        <v>630.95000000000005</v>
      </c>
      <c r="E225" s="243">
        <v>632.29999999999995</v>
      </c>
      <c r="F225" s="243">
        <v>6496953</v>
      </c>
      <c r="G225" s="243" t="s">
        <v>2412</v>
      </c>
      <c r="H225" s="151">
        <f t="shared" si="1"/>
        <v>4.744583267437541E-4</v>
      </c>
      <c r="J225" s="243">
        <v>314.89</v>
      </c>
      <c r="K225" s="243">
        <v>319.77999999999997</v>
      </c>
      <c r="L225" s="243">
        <v>312.91000000000003</v>
      </c>
      <c r="M225" s="243">
        <v>318.86</v>
      </c>
      <c r="N225" s="243">
        <v>210211</v>
      </c>
      <c r="O225" s="243" t="s">
        <v>2412</v>
      </c>
      <c r="P225" s="151">
        <f t="shared" si="0"/>
        <v>-1.2450605281314808E-2</v>
      </c>
      <c r="S225" s="2" t="s">
        <v>1874</v>
      </c>
    </row>
    <row r="226" spans="2:40" ht="14.25" customHeight="1">
      <c r="B226" s="243">
        <v>634.84</v>
      </c>
      <c r="C226" s="243">
        <v>636.07500000000005</v>
      </c>
      <c r="D226" s="243">
        <v>633.88</v>
      </c>
      <c r="E226" s="243">
        <v>635.14</v>
      </c>
      <c r="F226" s="243">
        <v>3829855</v>
      </c>
      <c r="G226" s="243" t="s">
        <v>2413</v>
      </c>
      <c r="H226" s="151">
        <f t="shared" si="1"/>
        <v>-4.7233680763292263E-4</v>
      </c>
      <c r="J226" s="243">
        <v>316.97000000000003</v>
      </c>
      <c r="K226" s="243">
        <v>317.2</v>
      </c>
      <c r="L226" s="243">
        <v>313.94499999999999</v>
      </c>
      <c r="M226" s="243">
        <v>315.86</v>
      </c>
      <c r="N226" s="243">
        <v>161498</v>
      </c>
      <c r="O226" s="243" t="s">
        <v>2413</v>
      </c>
      <c r="P226" s="151">
        <f t="shared" si="0"/>
        <v>3.5142151586147197E-3</v>
      </c>
      <c r="R226" s="2" t="s">
        <v>506</v>
      </c>
    </row>
    <row r="227" spans="2:40" ht="14.25" customHeight="1">
      <c r="B227" s="243">
        <v>634.78</v>
      </c>
      <c r="C227" s="243">
        <v>635.32000000000005</v>
      </c>
      <c r="D227" s="243">
        <v>632.54</v>
      </c>
      <c r="E227" s="243">
        <v>632.66999999999996</v>
      </c>
      <c r="F227" s="243">
        <v>3273415</v>
      </c>
      <c r="G227" s="243" t="s">
        <v>2414</v>
      </c>
      <c r="H227" s="151">
        <f t="shared" si="1"/>
        <v>3.3350719964595488E-3</v>
      </c>
      <c r="J227" s="243">
        <v>315.86</v>
      </c>
      <c r="K227" s="243">
        <v>318.77</v>
      </c>
      <c r="L227" s="243">
        <v>314.51</v>
      </c>
      <c r="M227" s="243">
        <v>315.79000000000002</v>
      </c>
      <c r="N227" s="243">
        <v>127047</v>
      </c>
      <c r="O227" s="243" t="s">
        <v>2414</v>
      </c>
      <c r="P227" s="151">
        <f t="shared" si="0"/>
        <v>2.2166629722275566E-4</v>
      </c>
      <c r="R227" s="2" t="s">
        <v>691</v>
      </c>
      <c r="AN227" s="1" t="s">
        <v>649</v>
      </c>
    </row>
    <row r="228" spans="2:40" ht="14.25" customHeight="1">
      <c r="B228" s="243">
        <v>632.66999999999996</v>
      </c>
      <c r="C228" s="243">
        <v>632.88</v>
      </c>
      <c r="D228" s="243">
        <v>628.91999999999996</v>
      </c>
      <c r="E228" s="243">
        <v>628.94000000000005</v>
      </c>
      <c r="F228" s="243">
        <v>13758872</v>
      </c>
      <c r="G228" s="243" t="s">
        <v>2415</v>
      </c>
      <c r="H228" s="151">
        <f t="shared" si="1"/>
        <v>5.9306134130441279E-3</v>
      </c>
      <c r="J228" s="243">
        <v>315.95</v>
      </c>
      <c r="K228" s="243">
        <v>320.35000000000002</v>
      </c>
      <c r="L228" s="243">
        <v>315.38869999999997</v>
      </c>
      <c r="M228" s="243">
        <v>319.58</v>
      </c>
      <c r="N228" s="243">
        <v>298664</v>
      </c>
      <c r="O228" s="243" t="s">
        <v>2415</v>
      </c>
      <c r="P228" s="151">
        <f t="shared" si="0"/>
        <v>-1.1358658238938557E-2</v>
      </c>
      <c r="S228" s="2" t="s">
        <v>1513</v>
      </c>
    </row>
    <row r="229" spans="2:40" ht="14.25" customHeight="1">
      <c r="B229" s="243">
        <v>629.73</v>
      </c>
      <c r="C229" s="243">
        <v>630.27</v>
      </c>
      <c r="D229" s="243">
        <v>627.79999999999995</v>
      </c>
      <c r="E229" s="243">
        <v>628.96500000000003</v>
      </c>
      <c r="F229" s="243">
        <v>9796066</v>
      </c>
      <c r="G229" s="243" t="s">
        <v>2416</v>
      </c>
      <c r="H229" s="151">
        <f t="shared" si="1"/>
        <v>1.2162838949703048E-3</v>
      </c>
      <c r="J229" s="243">
        <v>320.85000000000002</v>
      </c>
      <c r="K229" s="243">
        <v>321.38</v>
      </c>
      <c r="L229" s="243">
        <v>313.44619999999998</v>
      </c>
      <c r="M229" s="243">
        <v>314.61</v>
      </c>
      <c r="N229" s="243">
        <v>369538</v>
      </c>
      <c r="O229" s="243" t="s">
        <v>2416</v>
      </c>
      <c r="P229" s="151">
        <f t="shared" si="0"/>
        <v>1.983408028988265E-2</v>
      </c>
      <c r="S229" s="2" t="s">
        <v>1442</v>
      </c>
    </row>
    <row r="230" spans="2:40" ht="14.25" customHeight="1">
      <c r="B230" s="243">
        <v>627.55999999999995</v>
      </c>
      <c r="C230" s="243">
        <v>628.13</v>
      </c>
      <c r="D230" s="243">
        <v>623.86</v>
      </c>
      <c r="E230" s="243">
        <v>623.98</v>
      </c>
      <c r="F230" s="243">
        <v>10447326</v>
      </c>
      <c r="G230" s="243" t="s">
        <v>2417</v>
      </c>
      <c r="H230" s="151">
        <f t="shared" si="1"/>
        <v>5.7373633770312349E-3</v>
      </c>
      <c r="J230" s="243">
        <v>315.89999999999998</v>
      </c>
      <c r="K230" s="243">
        <v>317.37</v>
      </c>
      <c r="L230" s="243">
        <v>311.56</v>
      </c>
      <c r="M230" s="243">
        <v>315.5</v>
      </c>
      <c r="N230" s="243">
        <v>664313</v>
      </c>
      <c r="O230" s="243" t="s">
        <v>2417</v>
      </c>
      <c r="P230" s="151">
        <f t="shared" si="0"/>
        <v>1.2678288431060558E-3</v>
      </c>
      <c r="T230" s="2" t="s">
        <v>1444</v>
      </c>
    </row>
    <row r="231" spans="2:40" ht="14.25" customHeight="1">
      <c r="B231" s="243">
        <v>622.01</v>
      </c>
      <c r="C231" s="243">
        <v>625.94000000000005</v>
      </c>
      <c r="D231" s="243">
        <v>620.57000000000005</v>
      </c>
      <c r="E231" s="243">
        <v>623.04999999999995</v>
      </c>
      <c r="F231" s="243">
        <v>33420938</v>
      </c>
      <c r="G231" s="243" t="s">
        <v>2418</v>
      </c>
      <c r="H231" s="151">
        <f t="shared" si="1"/>
        <v>-1.6692079287375927E-3</v>
      </c>
      <c r="J231" s="243">
        <v>315.35000000000002</v>
      </c>
      <c r="K231" s="243">
        <v>320</v>
      </c>
      <c r="L231" s="243">
        <v>307</v>
      </c>
      <c r="M231" s="243">
        <v>318.20999999999998</v>
      </c>
      <c r="N231" s="243">
        <v>783816</v>
      </c>
      <c r="O231" s="243" t="s">
        <v>2418</v>
      </c>
      <c r="P231" s="151">
        <f t="shared" si="0"/>
        <v>-8.9877753684671768E-3</v>
      </c>
      <c r="T231" s="2" t="s">
        <v>1443</v>
      </c>
    </row>
    <row r="232" spans="2:40" ht="14.25" customHeight="1">
      <c r="B232" s="243">
        <v>617.35</v>
      </c>
      <c r="C232" s="243">
        <v>625.64</v>
      </c>
      <c r="D232" s="243">
        <v>617.15899999999999</v>
      </c>
      <c r="E232" s="243">
        <v>625.19000000000005</v>
      </c>
      <c r="F232" s="243">
        <v>20953077</v>
      </c>
      <c r="G232" s="243" t="s">
        <v>2419</v>
      </c>
      <c r="H232" s="151">
        <f t="shared" si="1"/>
        <v>-1.2540187782913992E-2</v>
      </c>
      <c r="J232" s="243">
        <v>309.26</v>
      </c>
      <c r="K232" s="243">
        <v>313.60950000000003</v>
      </c>
      <c r="L232" s="243">
        <v>307.85059999999999</v>
      </c>
      <c r="M232" s="243">
        <v>311.18</v>
      </c>
      <c r="N232" s="243">
        <v>494192</v>
      </c>
      <c r="O232" s="243" t="s">
        <v>2419</v>
      </c>
      <c r="P232" s="151">
        <f t="shared" si="0"/>
        <v>-6.1700623433382784E-3</v>
      </c>
      <c r="S232" s="2" t="s">
        <v>1445</v>
      </c>
    </row>
    <row r="233" spans="2:40" ht="14.25" customHeight="1">
      <c r="B233" s="243">
        <v>624.21</v>
      </c>
      <c r="C233" s="243">
        <v>626.22</v>
      </c>
      <c r="D233" s="243">
        <v>620.65</v>
      </c>
      <c r="E233" s="243">
        <v>624.54999999999995</v>
      </c>
      <c r="F233" s="243">
        <v>13922431</v>
      </c>
      <c r="G233" s="243" t="s">
        <v>2420</v>
      </c>
      <c r="H233" s="151">
        <f t="shared" si="1"/>
        <v>-5.4439196221267583E-4</v>
      </c>
      <c r="J233" s="243">
        <v>308.10000000000002</v>
      </c>
      <c r="K233" s="243">
        <v>314.10000000000002</v>
      </c>
      <c r="L233" s="243">
        <v>307</v>
      </c>
      <c r="M233" s="243">
        <v>309</v>
      </c>
      <c r="N233" s="243">
        <v>668765</v>
      </c>
      <c r="O233" s="243" t="s">
        <v>2420</v>
      </c>
      <c r="P233" s="151">
        <f t="shared" si="0"/>
        <v>-2.9126213592232109E-3</v>
      </c>
    </row>
    <row r="234" spans="2:40" ht="14.25" customHeight="1">
      <c r="B234" s="243">
        <v>625.96</v>
      </c>
      <c r="C234" s="243">
        <v>630.55999999999995</v>
      </c>
      <c r="D234" s="243">
        <v>624.57000000000005</v>
      </c>
      <c r="E234" s="243">
        <v>630.55999999999995</v>
      </c>
      <c r="F234" s="243">
        <v>11306924</v>
      </c>
      <c r="G234" s="243" t="s">
        <v>2421</v>
      </c>
      <c r="H234" s="151">
        <f t="shared" si="1"/>
        <v>-7.2951027657953693E-3</v>
      </c>
      <c r="J234" s="243">
        <v>309.14999999999998</v>
      </c>
      <c r="K234" s="243">
        <v>315.74</v>
      </c>
      <c r="L234" s="243">
        <v>307.83999999999997</v>
      </c>
      <c r="M234" s="243">
        <v>312.48</v>
      </c>
      <c r="N234" s="243">
        <v>470933</v>
      </c>
      <c r="O234" s="243" t="s">
        <v>2421</v>
      </c>
      <c r="P234" s="151">
        <f t="shared" si="0"/>
        <v>-1.0656682027649911E-2</v>
      </c>
      <c r="R234" s="152"/>
      <c r="S234" s="152" t="s">
        <v>264</v>
      </c>
      <c r="T234" s="154">
        <f>MIN($P$193:$P$1396)</f>
        <v>-0.13203174603174594</v>
      </c>
    </row>
    <row r="235" spans="2:40" ht="14.25" customHeight="1">
      <c r="B235" s="243">
        <v>626.87</v>
      </c>
      <c r="C235" s="243">
        <v>633.42999999999995</v>
      </c>
      <c r="D235" s="243">
        <v>624.48</v>
      </c>
      <c r="E235" s="243">
        <v>632.79999999999995</v>
      </c>
      <c r="F235" s="243">
        <v>8504783</v>
      </c>
      <c r="G235" s="243" t="s">
        <v>2422</v>
      </c>
      <c r="H235" s="151">
        <f t="shared" si="1"/>
        <v>-9.3710493046775811E-3</v>
      </c>
      <c r="J235" s="243">
        <v>312.02</v>
      </c>
      <c r="K235" s="243">
        <v>315.005</v>
      </c>
      <c r="L235" s="243">
        <v>310.89</v>
      </c>
      <c r="M235" s="243">
        <v>313.19</v>
      </c>
      <c r="N235" s="243">
        <v>410796</v>
      </c>
      <c r="O235" s="243" t="s">
        <v>2422</v>
      </c>
      <c r="P235" s="151">
        <f t="shared" si="0"/>
        <v>-3.73575146077465E-3</v>
      </c>
      <c r="R235" s="155"/>
      <c r="S235" s="152" t="s">
        <v>263</v>
      </c>
      <c r="T235" s="154">
        <f>MAX($P$193:$P$1396)</f>
        <v>0.18352724177071522</v>
      </c>
    </row>
    <row r="236" spans="2:40" ht="14.25" customHeight="1">
      <c r="B236" s="243">
        <v>633.71</v>
      </c>
      <c r="C236" s="243">
        <v>633.87</v>
      </c>
      <c r="D236" s="243">
        <v>627.27</v>
      </c>
      <c r="E236" s="243">
        <v>630</v>
      </c>
      <c r="F236" s="243">
        <v>22128232</v>
      </c>
      <c r="G236" s="243" t="s">
        <v>2423</v>
      </c>
      <c r="H236" s="151">
        <f t="shared" si="1"/>
        <v>5.8888888888890545E-3</v>
      </c>
      <c r="J236" s="243">
        <v>311.39999999999998</v>
      </c>
      <c r="K236" s="243">
        <v>314.74</v>
      </c>
      <c r="L236" s="243">
        <v>304.79000000000002</v>
      </c>
      <c r="M236" s="243">
        <v>305.75</v>
      </c>
      <c r="N236" s="243">
        <v>686006</v>
      </c>
      <c r="O236" s="243" t="s">
        <v>2423</v>
      </c>
      <c r="P236" s="151">
        <f t="shared" si="0"/>
        <v>1.8479149632052216E-2</v>
      </c>
      <c r="R236" s="152"/>
      <c r="S236" s="152" t="s">
        <v>266</v>
      </c>
      <c r="T236" s="154">
        <f>AVERAGE($P$193:$P$1396)</f>
        <v>4.4028438679999708E-5</v>
      </c>
    </row>
    <row r="237" spans="2:40" ht="14.25" customHeight="1">
      <c r="B237" s="243">
        <v>632.16</v>
      </c>
      <c r="C237" s="243">
        <v>633.505</v>
      </c>
      <c r="D237" s="243">
        <v>626.47</v>
      </c>
      <c r="E237" s="243">
        <v>627.63</v>
      </c>
      <c r="F237" s="243">
        <v>22399235</v>
      </c>
      <c r="G237" s="243" t="s">
        <v>2424</v>
      </c>
      <c r="H237" s="151">
        <f t="shared" si="1"/>
        <v>7.2176282204483577E-3</v>
      </c>
      <c r="J237" s="243">
        <v>303.07</v>
      </c>
      <c r="K237" s="243">
        <v>303.2</v>
      </c>
      <c r="L237" s="243">
        <v>288.35000000000002</v>
      </c>
      <c r="M237" s="243">
        <v>288.47000000000003</v>
      </c>
      <c r="N237" s="243">
        <v>550714</v>
      </c>
      <c r="O237" s="243" t="s">
        <v>2424</v>
      </c>
      <c r="P237" s="151">
        <f t="shared" si="0"/>
        <v>5.0611848719104069E-2</v>
      </c>
      <c r="R237" s="155"/>
      <c r="S237" s="152" t="s">
        <v>690</v>
      </c>
      <c r="T237" s="154">
        <f>MEDIAN($P$193:$P$1396)</f>
        <v>-6.2332601447384617E-4</v>
      </c>
    </row>
    <row r="238" spans="2:40" ht="14.25" customHeight="1">
      <c r="B238" s="243">
        <v>628.1</v>
      </c>
      <c r="C238" s="243">
        <v>630.21</v>
      </c>
      <c r="D238" s="243">
        <v>627.66</v>
      </c>
      <c r="E238" s="243">
        <v>628.17999999999995</v>
      </c>
      <c r="F238" s="243">
        <v>9617841</v>
      </c>
      <c r="G238" s="243" t="s">
        <v>2425</v>
      </c>
      <c r="H238" s="151">
        <f t="shared" si="1"/>
        <v>-1.2735203285674235E-4</v>
      </c>
      <c r="J238" s="243">
        <v>287.14</v>
      </c>
      <c r="K238" s="243">
        <v>299.99</v>
      </c>
      <c r="L238" s="243">
        <v>286.75</v>
      </c>
      <c r="M238" s="243">
        <v>299.33</v>
      </c>
      <c r="N238" s="243">
        <v>516625</v>
      </c>
      <c r="O238" s="243" t="s">
        <v>2425</v>
      </c>
      <c r="P238" s="151">
        <f t="shared" si="0"/>
        <v>-4.0724284234791019E-2</v>
      </c>
      <c r="R238" s="155"/>
      <c r="S238" s="152" t="s">
        <v>265</v>
      </c>
      <c r="T238" s="154">
        <f>_xlfn.STDEV.P($P$193:$P$1396)</f>
        <v>2.3735436650173251E-2</v>
      </c>
    </row>
    <row r="239" spans="2:40" ht="14.25" customHeight="1">
      <c r="B239" s="243">
        <v>628.61</v>
      </c>
      <c r="C239" s="243">
        <v>631.47</v>
      </c>
      <c r="D239" s="243">
        <v>626.70100000000002</v>
      </c>
      <c r="E239" s="243">
        <v>631.36</v>
      </c>
      <c r="F239" s="243">
        <v>6833888</v>
      </c>
      <c r="G239" s="243" t="s">
        <v>2426</v>
      </c>
      <c r="H239" s="151">
        <f t="shared" si="1"/>
        <v>-4.3556766345665965E-3</v>
      </c>
      <c r="J239" s="243">
        <v>294.83</v>
      </c>
      <c r="K239" s="243">
        <v>301.7</v>
      </c>
      <c r="L239" s="243">
        <v>292.35500000000002</v>
      </c>
      <c r="M239" s="243">
        <v>299.16000000000003</v>
      </c>
      <c r="N239" s="243">
        <v>523633</v>
      </c>
      <c r="O239" s="243" t="s">
        <v>2426</v>
      </c>
      <c r="P239" s="151">
        <f t="shared" si="0"/>
        <v>-1.4473860141730355E-2</v>
      </c>
      <c r="R239" s="155"/>
      <c r="S239" s="155" t="s">
        <v>1441</v>
      </c>
      <c r="T239" s="154">
        <f>3*T238</f>
        <v>7.1206309950519756E-2</v>
      </c>
      <c r="U239" s="152"/>
      <c r="V239" s="1" t="s">
        <v>1515</v>
      </c>
    </row>
    <row r="240" spans="2:40" ht="14.25" customHeight="1">
      <c r="B240" s="243">
        <v>630.48</v>
      </c>
      <c r="C240" s="243">
        <v>632.98</v>
      </c>
      <c r="D240" s="243">
        <v>629.48</v>
      </c>
      <c r="E240" s="243">
        <v>630.29999999999995</v>
      </c>
      <c r="F240" s="243">
        <v>5007553</v>
      </c>
      <c r="G240" s="243" t="s">
        <v>2427</v>
      </c>
      <c r="H240" s="151">
        <f t="shared" si="1"/>
        <v>2.8557829604958229E-4</v>
      </c>
      <c r="J240" s="243">
        <v>300.66000000000003</v>
      </c>
      <c r="K240" s="243">
        <v>303</v>
      </c>
      <c r="L240" s="243">
        <v>295.33999999999997</v>
      </c>
      <c r="M240" s="243">
        <v>297.42</v>
      </c>
      <c r="N240" s="243">
        <v>546116</v>
      </c>
      <c r="O240" s="243" t="s">
        <v>2427</v>
      </c>
      <c r="P240" s="151">
        <f t="shared" si="0"/>
        <v>1.0893685696994115E-2</v>
      </c>
      <c r="R240" s="152"/>
      <c r="S240" s="155" t="s">
        <v>1440</v>
      </c>
      <c r="T240" s="242">
        <f>_xlfn.COVARIANCE.P(P193:P442,H193:H442)/_xlfn.VAR.P(H193:H442)</f>
        <v>0.76850681198020476</v>
      </c>
      <c r="U240" s="152"/>
      <c r="V240" s="1" t="s">
        <v>689</v>
      </c>
    </row>
    <row r="241" spans="2:43" ht="14.25" customHeight="1">
      <c r="B241" s="243">
        <v>629.29999999999995</v>
      </c>
      <c r="C241" s="243">
        <v>630.17999999999995</v>
      </c>
      <c r="D241" s="243">
        <v>626.48</v>
      </c>
      <c r="E241" s="243">
        <v>630.13</v>
      </c>
      <c r="F241" s="243">
        <v>5114434</v>
      </c>
      <c r="G241" s="243" t="s">
        <v>2428</v>
      </c>
      <c r="H241" s="151">
        <f t="shared" si="1"/>
        <v>-1.3171885166554098E-3</v>
      </c>
      <c r="J241" s="243">
        <v>294.72000000000003</v>
      </c>
      <c r="K241" s="243">
        <v>296.5</v>
      </c>
      <c r="L241" s="243">
        <v>284.95</v>
      </c>
      <c r="M241" s="243">
        <v>285.70999999999998</v>
      </c>
      <c r="N241" s="243">
        <v>530417</v>
      </c>
      <c r="O241" s="243" t="s">
        <v>2428</v>
      </c>
      <c r="P241" s="151">
        <f t="shared" si="0"/>
        <v>3.1535473032095585E-2</v>
      </c>
    </row>
    <row r="242" spans="2:43" ht="14.25" customHeight="1">
      <c r="B242" s="243">
        <v>628.77</v>
      </c>
      <c r="C242" s="243">
        <v>629.78</v>
      </c>
      <c r="D242" s="243">
        <v>624.95000000000005</v>
      </c>
      <c r="E242" s="243">
        <v>625.77</v>
      </c>
      <c r="F242" s="243">
        <v>5149531</v>
      </c>
      <c r="G242" s="243" t="s">
        <v>2429</v>
      </c>
      <c r="H242" s="151">
        <f t="shared" si="1"/>
        <v>4.7940936765904496E-3</v>
      </c>
      <c r="J242" s="243">
        <v>285.70999999999998</v>
      </c>
      <c r="K242" s="243">
        <v>292.26</v>
      </c>
      <c r="L242" s="243">
        <v>285.16000000000003</v>
      </c>
      <c r="M242" s="243">
        <v>288.2</v>
      </c>
      <c r="N242" s="243">
        <v>313685</v>
      </c>
      <c r="O242" s="243" t="s">
        <v>2429</v>
      </c>
      <c r="P242" s="151">
        <f t="shared" si="0"/>
        <v>-8.6398334489937723E-3</v>
      </c>
      <c r="R242" s="61" t="s">
        <v>1506</v>
      </c>
      <c r="S242" s="156">
        <v>1004</v>
      </c>
    </row>
    <row r="243" spans="2:43" ht="14.25" customHeight="1" thickBot="1">
      <c r="B243" s="243">
        <v>626.58000000000004</v>
      </c>
      <c r="C243" s="243">
        <v>628.77</v>
      </c>
      <c r="D243" s="243">
        <v>624.62</v>
      </c>
      <c r="E243" s="243">
        <v>627.01</v>
      </c>
      <c r="F243" s="243">
        <v>5256797</v>
      </c>
      <c r="G243" s="243" t="s">
        <v>2430</v>
      </c>
      <c r="H243" s="151">
        <f t="shared" si="1"/>
        <v>-6.8579448493633066E-4</v>
      </c>
      <c r="J243" s="243">
        <v>287.70999999999998</v>
      </c>
      <c r="K243" s="243">
        <v>295.39499999999998</v>
      </c>
      <c r="L243" s="243">
        <v>287.2</v>
      </c>
      <c r="M243" s="243">
        <v>292.98</v>
      </c>
      <c r="N243" s="243">
        <v>328422</v>
      </c>
      <c r="O243" s="243" t="s">
        <v>2430</v>
      </c>
      <c r="P243" s="151">
        <f t="shared" si="0"/>
        <v>-1.7987575943750556E-2</v>
      </c>
      <c r="R243" s="2" t="s">
        <v>1505</v>
      </c>
      <c r="U243" s="2" t="s">
        <v>1508</v>
      </c>
      <c r="Y243" s="2" t="s">
        <v>1507</v>
      </c>
    </row>
    <row r="244" spans="2:43" ht="14.25" customHeight="1">
      <c r="B244" s="243">
        <v>625.52</v>
      </c>
      <c r="C244" s="243">
        <v>628.01</v>
      </c>
      <c r="D244" s="243">
        <v>624.1</v>
      </c>
      <c r="E244" s="243">
        <v>624.16999999999996</v>
      </c>
      <c r="F244" s="243">
        <v>8381362</v>
      </c>
      <c r="G244" s="243" t="s">
        <v>2431</v>
      </c>
      <c r="H244" s="151">
        <f t="shared" si="1"/>
        <v>2.1628722944069256E-3</v>
      </c>
      <c r="J244" s="243">
        <v>291.66000000000003</v>
      </c>
      <c r="K244" s="243">
        <v>298.69</v>
      </c>
      <c r="L244" s="243">
        <v>291.38</v>
      </c>
      <c r="M244" s="243">
        <v>295.62</v>
      </c>
      <c r="N244" s="243">
        <v>414929</v>
      </c>
      <c r="O244" s="243" t="s">
        <v>2431</v>
      </c>
      <c r="P244" s="151">
        <f t="shared" si="0"/>
        <v>-1.3395575400852344E-2</v>
      </c>
      <c r="R244" s="157" t="s">
        <v>1427</v>
      </c>
      <c r="S244" s="158" t="s">
        <v>1429</v>
      </c>
      <c r="T244" s="147"/>
      <c r="U244" s="159" t="s">
        <v>1598</v>
      </c>
      <c r="V244" s="160" t="s">
        <v>1439</v>
      </c>
      <c r="Y244" s="158" t="s">
        <v>1431</v>
      </c>
      <c r="Z244" s="160" t="s">
        <v>1432</v>
      </c>
    </row>
    <row r="245" spans="2:43" ht="14.25" customHeight="1">
      <c r="B245" s="243">
        <v>628.41</v>
      </c>
      <c r="C245" s="243">
        <v>628.63</v>
      </c>
      <c r="D245" s="243">
        <v>625.70500000000004</v>
      </c>
      <c r="E245" s="243">
        <v>626.02499999999998</v>
      </c>
      <c r="F245" s="243">
        <v>2949167</v>
      </c>
      <c r="G245" s="243" t="s">
        <v>2432</v>
      </c>
      <c r="H245" s="151">
        <f t="shared" si="1"/>
        <v>3.8097520067090773E-3</v>
      </c>
      <c r="J245" s="243">
        <v>293.17</v>
      </c>
      <c r="K245" s="243">
        <v>297.83499999999998</v>
      </c>
      <c r="L245" s="243">
        <v>291.94099999999997</v>
      </c>
      <c r="M245" s="243">
        <v>295.37</v>
      </c>
      <c r="N245" s="243">
        <v>254172</v>
      </c>
      <c r="O245" s="243" t="s">
        <v>2432</v>
      </c>
      <c r="P245" s="151">
        <f t="shared" si="0"/>
        <v>-7.4482852016114487E-3</v>
      </c>
      <c r="R245" s="151">
        <v>-7.4999999999999997E-2</v>
      </c>
      <c r="S245" s="2">
        <v>1</v>
      </c>
      <c r="T245" s="147"/>
      <c r="U245" s="161">
        <v>-7.7499999999999999E-2</v>
      </c>
      <c r="V245" s="2">
        <f t="shared" ref="V245:V276" si="2">_xlfn.NORM.DIST(U245,$T$236,$T$238,FALSE)</f>
        <v>8.0875363793833838E-2</v>
      </c>
      <c r="X245" s="2" t="s">
        <v>266</v>
      </c>
      <c r="Y245" s="151">
        <f>T236</f>
        <v>4.4028438679999708E-5</v>
      </c>
      <c r="Z245" s="2">
        <v>0</v>
      </c>
    </row>
    <row r="246" spans="2:43" ht="14.25" customHeight="1">
      <c r="B246" s="243">
        <v>624.95000000000005</v>
      </c>
      <c r="C246" s="243">
        <v>626.80999999999995</v>
      </c>
      <c r="D246" s="243">
        <v>622.26</v>
      </c>
      <c r="E246" s="243">
        <v>623.05999999999995</v>
      </c>
      <c r="F246" s="243">
        <v>5292533</v>
      </c>
      <c r="G246" s="243" t="s">
        <v>2433</v>
      </c>
      <c r="H246" s="151">
        <f t="shared" si="1"/>
        <v>3.033415722402566E-3</v>
      </c>
      <c r="J246" s="243">
        <v>295.95999999999998</v>
      </c>
      <c r="K246" s="243">
        <v>301.22000000000003</v>
      </c>
      <c r="L246" s="243">
        <v>295.58999999999997</v>
      </c>
      <c r="M246" s="243">
        <v>297.05</v>
      </c>
      <c r="N246" s="243">
        <v>349094</v>
      </c>
      <c r="O246" s="243" t="s">
        <v>2433</v>
      </c>
      <c r="P246" s="151">
        <f t="shared" si="0"/>
        <v>-3.6694159232453227E-3</v>
      </c>
      <c r="R246" s="151">
        <v>-7.2499999999999995E-2</v>
      </c>
      <c r="S246" s="2">
        <v>1</v>
      </c>
      <c r="T246" s="147"/>
      <c r="U246" s="161">
        <v>-7.4999999999999997E-2</v>
      </c>
      <c r="V246" s="2">
        <f t="shared" si="2"/>
        <v>0.11346218484928083</v>
      </c>
      <c r="Y246" s="151">
        <f>T236</f>
        <v>4.4028438679999708E-5</v>
      </c>
      <c r="Z246" s="2">
        <v>17</v>
      </c>
    </row>
    <row r="247" spans="2:43" ht="14.25" customHeight="1">
      <c r="B247" s="243">
        <v>620.66</v>
      </c>
      <c r="C247" s="243">
        <v>621.75</v>
      </c>
      <c r="D247" s="243">
        <v>610.99</v>
      </c>
      <c r="E247" s="243">
        <v>614.78</v>
      </c>
      <c r="F247" s="243">
        <v>7289905</v>
      </c>
      <c r="G247" s="243" t="s">
        <v>2434</v>
      </c>
      <c r="H247" s="151">
        <f t="shared" si="1"/>
        <v>9.5643970200722794E-3</v>
      </c>
      <c r="J247" s="243">
        <v>298.70999999999998</v>
      </c>
      <c r="K247" s="243">
        <v>301.01</v>
      </c>
      <c r="L247" s="243">
        <v>296.255</v>
      </c>
      <c r="M247" s="243">
        <v>299</v>
      </c>
      <c r="N247" s="243">
        <v>765541</v>
      </c>
      <c r="O247" s="243" t="s">
        <v>2434</v>
      </c>
      <c r="P247" s="151">
        <f t="shared" si="0"/>
        <v>-9.6989966555194318E-4</v>
      </c>
      <c r="R247" s="151">
        <v>-6.9999999999999993E-2</v>
      </c>
      <c r="S247" s="2">
        <v>1</v>
      </c>
      <c r="T247" s="147"/>
      <c r="U247" s="161">
        <f t="shared" ref="U247:U278" si="3">U246+0.0025</f>
        <v>-7.2499999999999995E-2</v>
      </c>
      <c r="V247" s="2">
        <f t="shared" si="2"/>
        <v>0.15742293419420078</v>
      </c>
      <c r="X247" s="162" t="s">
        <v>1433</v>
      </c>
      <c r="Y247" s="151">
        <f>$T$236+$T$238*-3</f>
        <v>-7.1162281511839759E-2</v>
      </c>
      <c r="Z247" s="2">
        <v>0</v>
      </c>
    </row>
    <row r="248" spans="2:43" ht="14.25" customHeight="1">
      <c r="B248" s="243">
        <v>614.94000000000005</v>
      </c>
      <c r="C248" s="243">
        <v>616.09</v>
      </c>
      <c r="D248" s="243">
        <v>608.30499999999995</v>
      </c>
      <c r="E248" s="243">
        <v>609.28</v>
      </c>
      <c r="F248" s="243">
        <v>6218559</v>
      </c>
      <c r="G248" s="243" t="s">
        <v>2435</v>
      </c>
      <c r="H248" s="151">
        <f t="shared" si="1"/>
        <v>9.2896533613446852E-3</v>
      </c>
      <c r="J248" s="243">
        <v>298.11</v>
      </c>
      <c r="K248" s="243">
        <v>298.5</v>
      </c>
      <c r="L248" s="243">
        <v>286.37</v>
      </c>
      <c r="M248" s="243">
        <v>288.14999999999998</v>
      </c>
      <c r="N248" s="243">
        <v>594839</v>
      </c>
      <c r="O248" s="243" t="s">
        <v>2435</v>
      </c>
      <c r="P248" s="151">
        <f t="shared" si="0"/>
        <v>3.4565330557001728E-2</v>
      </c>
      <c r="R248" s="151">
        <v>-6.7499999999999991E-2</v>
      </c>
      <c r="S248" s="2">
        <v>0</v>
      </c>
      <c r="T248" s="147"/>
      <c r="U248" s="161">
        <f t="shared" si="3"/>
        <v>-6.9999999999999993E-2</v>
      </c>
      <c r="V248" s="2">
        <f t="shared" si="2"/>
        <v>0.21600650471537836</v>
      </c>
      <c r="X248" s="150"/>
      <c r="Y248" s="151">
        <f>$T$236+$T$238*-3</f>
        <v>-7.1162281511839759E-2</v>
      </c>
      <c r="Z248" s="2">
        <v>1</v>
      </c>
    </row>
    <row r="249" spans="2:43" ht="14.25" customHeight="1">
      <c r="B249" s="243">
        <v>605.92999999999995</v>
      </c>
      <c r="C249" s="243">
        <v>611.01</v>
      </c>
      <c r="D249" s="243">
        <v>598.38</v>
      </c>
      <c r="E249" s="243">
        <v>602.25</v>
      </c>
      <c r="F249" s="243">
        <v>9789866</v>
      </c>
      <c r="G249" s="243" t="s">
        <v>2436</v>
      </c>
      <c r="H249" s="151">
        <f t="shared" si="1"/>
        <v>6.1104192611041164E-3</v>
      </c>
      <c r="J249" s="243">
        <v>288.47000000000003</v>
      </c>
      <c r="K249" s="243">
        <v>293.18</v>
      </c>
      <c r="L249" s="243">
        <v>279.69</v>
      </c>
      <c r="M249" s="243">
        <v>279.69</v>
      </c>
      <c r="N249" s="243">
        <v>619910</v>
      </c>
      <c r="O249" s="243" t="s">
        <v>2436</v>
      </c>
      <c r="P249" s="151">
        <f t="shared" si="0"/>
        <v>3.1391898172977273E-2</v>
      </c>
      <c r="R249" s="151">
        <v>-6.4999999999999988E-2</v>
      </c>
      <c r="S249" s="2">
        <v>2</v>
      </c>
      <c r="T249" s="147"/>
      <c r="U249" s="161">
        <f t="shared" si="3"/>
        <v>-6.7499999999999991E-2</v>
      </c>
      <c r="V249" s="2">
        <f t="shared" si="2"/>
        <v>0.29312146452222615</v>
      </c>
      <c r="X249" s="162" t="s">
        <v>1434</v>
      </c>
      <c r="Y249" s="151">
        <f>$T$236+$T$238*-2</f>
        <v>-4.7426844861666505E-2</v>
      </c>
      <c r="Z249" s="2">
        <v>0</v>
      </c>
    </row>
    <row r="250" spans="2:43" ht="14.25" customHeight="1">
      <c r="B250" s="243">
        <v>599.96</v>
      </c>
      <c r="C250" s="243">
        <v>621.12879999999996</v>
      </c>
      <c r="D250" s="243">
        <v>599.36</v>
      </c>
      <c r="E250" s="243">
        <v>618.72</v>
      </c>
      <c r="F250" s="243">
        <v>13857655</v>
      </c>
      <c r="G250" s="243" t="s">
        <v>2437</v>
      </c>
      <c r="H250" s="151">
        <f t="shared" si="1"/>
        <v>-3.0320662011895538E-2</v>
      </c>
      <c r="J250" s="243">
        <v>279.79000000000002</v>
      </c>
      <c r="K250" s="243">
        <v>285</v>
      </c>
      <c r="L250" s="243">
        <v>277.54000000000002</v>
      </c>
      <c r="M250" s="243">
        <v>283.60000000000002</v>
      </c>
      <c r="N250" s="243">
        <v>370202</v>
      </c>
      <c r="O250" s="243" t="s">
        <v>2437</v>
      </c>
      <c r="P250" s="151">
        <f t="shared" si="0"/>
        <v>-1.3434414668547223E-2</v>
      </c>
      <c r="R250" s="151">
        <v>-6.2499999999999986E-2</v>
      </c>
      <c r="S250" s="2">
        <v>0</v>
      </c>
      <c r="T250" s="147"/>
      <c r="U250" s="161">
        <f t="shared" si="3"/>
        <v>-6.4999999999999988E-2</v>
      </c>
      <c r="V250" s="2">
        <f t="shared" si="2"/>
        <v>0.39337828267135982</v>
      </c>
      <c r="X250" s="150"/>
      <c r="Y250" s="151">
        <f>$T$236+$T$238*-2</f>
        <v>-4.7426844861666505E-2</v>
      </c>
      <c r="Z250" s="2">
        <v>3</v>
      </c>
    </row>
    <row r="251" spans="2:43" ht="14.25" customHeight="1">
      <c r="B251" s="243">
        <v>609.20000000000005</v>
      </c>
      <c r="C251" s="243">
        <v>613.56989999999996</v>
      </c>
      <c r="D251" s="243">
        <v>605.66999999999996</v>
      </c>
      <c r="E251" s="243">
        <v>607.52</v>
      </c>
      <c r="F251" s="243">
        <v>7297298</v>
      </c>
      <c r="G251" s="243" t="s">
        <v>2438</v>
      </c>
      <c r="H251" s="151">
        <f t="shared" si="1"/>
        <v>2.7653410587307192E-3</v>
      </c>
      <c r="J251" s="243">
        <v>283.14999999999998</v>
      </c>
      <c r="K251" s="243">
        <v>285.87</v>
      </c>
      <c r="L251" s="243">
        <v>276.72000000000003</v>
      </c>
      <c r="M251" s="243">
        <v>278.06</v>
      </c>
      <c r="N251" s="243">
        <v>576257</v>
      </c>
      <c r="O251" s="243" t="s">
        <v>2438</v>
      </c>
      <c r="P251" s="151">
        <f t="shared" si="0"/>
        <v>1.830540171186068E-2</v>
      </c>
      <c r="R251" s="151">
        <v>-5.9999999999999984E-2</v>
      </c>
      <c r="S251" s="2">
        <v>2</v>
      </c>
      <c r="T251" s="147"/>
      <c r="U251" s="161">
        <f t="shared" si="3"/>
        <v>-6.2499999999999986E-2</v>
      </c>
      <c r="V251" s="2">
        <f t="shared" si="2"/>
        <v>0.52210169608081136</v>
      </c>
      <c r="X251" s="163" t="s">
        <v>1435</v>
      </c>
      <c r="Y251" s="151">
        <f>$T$236+$T$238*-1</f>
        <v>-2.3691408211493251E-2</v>
      </c>
      <c r="Z251" s="2">
        <v>0</v>
      </c>
    </row>
    <row r="252" spans="2:43" ht="14.25" customHeight="1">
      <c r="B252" s="243">
        <v>607</v>
      </c>
      <c r="C252" s="243">
        <v>611.51</v>
      </c>
      <c r="D252" s="243">
        <v>603</v>
      </c>
      <c r="E252" s="243">
        <v>608.72</v>
      </c>
      <c r="F252" s="243">
        <v>8485565</v>
      </c>
      <c r="G252" s="243" t="s">
        <v>2439</v>
      </c>
      <c r="H252" s="151">
        <f t="shared" si="1"/>
        <v>-2.8256012616638682E-3</v>
      </c>
      <c r="J252" s="243">
        <v>278.10000000000002</v>
      </c>
      <c r="K252" s="243">
        <v>280.72000000000003</v>
      </c>
      <c r="L252" s="243">
        <v>276.01010000000002</v>
      </c>
      <c r="M252" s="243">
        <v>278.85000000000002</v>
      </c>
      <c r="N252" s="243">
        <v>307997</v>
      </c>
      <c r="O252" s="243" t="s">
        <v>2439</v>
      </c>
      <c r="P252" s="151">
        <f t="shared" si="0"/>
        <v>-2.689618074233513E-3</v>
      </c>
      <c r="R252" s="151">
        <v>-5.7499999999999982E-2</v>
      </c>
      <c r="S252" s="2">
        <v>0</v>
      </c>
      <c r="T252" s="147"/>
      <c r="U252" s="161">
        <f t="shared" si="3"/>
        <v>-5.9999999999999984E-2</v>
      </c>
      <c r="V252" s="2">
        <f t="shared" si="2"/>
        <v>0.68530167586273394</v>
      </c>
      <c r="Y252" s="151">
        <f>$T$236+$T$238*-1</f>
        <v>-2.3691408211493251E-2</v>
      </c>
      <c r="Z252" s="2">
        <v>10</v>
      </c>
    </row>
    <row r="253" spans="2:43" ht="14.25" customHeight="1">
      <c r="B253" s="243">
        <v>612.04</v>
      </c>
      <c r="C253" s="243">
        <v>619.44849999999997</v>
      </c>
      <c r="D253" s="243">
        <v>608.80999999999995</v>
      </c>
      <c r="E253" s="243">
        <v>615.74</v>
      </c>
      <c r="F253" s="243">
        <v>8858869</v>
      </c>
      <c r="G253" s="243" t="s">
        <v>2440</v>
      </c>
      <c r="H253" s="151">
        <f t="shared" si="1"/>
        <v>-6.0090297852990471E-3</v>
      </c>
      <c r="J253" s="243">
        <v>278.51</v>
      </c>
      <c r="K253" s="243">
        <v>284.91000000000003</v>
      </c>
      <c r="L253" s="243">
        <v>277.64</v>
      </c>
      <c r="M253" s="243">
        <v>282.93</v>
      </c>
      <c r="N253" s="243">
        <v>454662</v>
      </c>
      <c r="O253" s="243" t="s">
        <v>2440</v>
      </c>
      <c r="P253" s="151">
        <f t="shared" si="0"/>
        <v>-1.5622238716290315E-2</v>
      </c>
      <c r="R253" s="151">
        <v>-5.4999999999999979E-2</v>
      </c>
      <c r="S253" s="2">
        <v>2</v>
      </c>
      <c r="T253" s="147"/>
      <c r="U253" s="161">
        <f t="shared" si="3"/>
        <v>-5.7499999999999982E-2</v>
      </c>
      <c r="V253" s="2">
        <f t="shared" si="2"/>
        <v>0.88959114130475181</v>
      </c>
      <c r="X253" s="2" t="s">
        <v>1436</v>
      </c>
      <c r="Y253" s="151">
        <f>$T$236+$T$238*1</f>
        <v>2.3779465088853251E-2</v>
      </c>
      <c r="Z253" s="2">
        <v>0</v>
      </c>
      <c r="AO253" s="2" t="s">
        <v>2587</v>
      </c>
    </row>
    <row r="254" spans="2:43" ht="14.25" customHeight="1">
      <c r="B254" s="243">
        <v>617.83000000000004</v>
      </c>
      <c r="C254" s="243">
        <v>621.21990000000005</v>
      </c>
      <c r="D254" s="243">
        <v>609.83000000000004</v>
      </c>
      <c r="E254" s="243">
        <v>611.75</v>
      </c>
      <c r="F254" s="243">
        <v>9651895</v>
      </c>
      <c r="G254" s="243" t="s">
        <v>2441</v>
      </c>
      <c r="H254" s="151">
        <f t="shared" si="1"/>
        <v>9.9387004495301579E-3</v>
      </c>
      <c r="J254" s="243">
        <v>280.07</v>
      </c>
      <c r="K254" s="243">
        <v>282.87</v>
      </c>
      <c r="L254" s="243">
        <v>274.55</v>
      </c>
      <c r="M254" s="243">
        <v>277.29000000000002</v>
      </c>
      <c r="N254" s="243">
        <v>444681</v>
      </c>
      <c r="O254" s="243" t="s">
        <v>2441</v>
      </c>
      <c r="P254" s="151">
        <f t="shared" si="0"/>
        <v>1.002560496231375E-2</v>
      </c>
      <c r="R254" s="151">
        <v>-5.2499999999999977E-2</v>
      </c>
      <c r="S254" s="2">
        <v>7</v>
      </c>
      <c r="T254" s="147"/>
      <c r="U254" s="161">
        <f t="shared" si="3"/>
        <v>-5.4999999999999979E-2</v>
      </c>
      <c r="V254" s="2">
        <f t="shared" si="2"/>
        <v>1.1420393572126875</v>
      </c>
      <c r="Y254" s="151">
        <f>$T$236+$T$238*1</f>
        <v>2.3779465088853251E-2</v>
      </c>
      <c r="Z254" s="2">
        <v>10</v>
      </c>
      <c r="AP254" s="2" t="s">
        <v>1991</v>
      </c>
    </row>
    <row r="255" spans="2:43" ht="14.25" customHeight="1">
      <c r="B255" s="243">
        <v>617.99</v>
      </c>
      <c r="C255" s="243">
        <v>626.02</v>
      </c>
      <c r="D255" s="243">
        <v>616.51</v>
      </c>
      <c r="E255" s="243">
        <v>625.66999999999996</v>
      </c>
      <c r="F255" s="243">
        <v>10526401</v>
      </c>
      <c r="G255" s="243" t="s">
        <v>2442</v>
      </c>
      <c r="H255" s="151">
        <f t="shared" si="1"/>
        <v>-1.2274841370051193E-2</v>
      </c>
      <c r="J255" s="243">
        <v>278.74</v>
      </c>
      <c r="K255" s="243">
        <v>280.84989999999999</v>
      </c>
      <c r="L255" s="243">
        <v>274.20010000000002</v>
      </c>
      <c r="M255" s="243">
        <v>277.87</v>
      </c>
      <c r="N255" s="243">
        <v>450663</v>
      </c>
      <c r="O255" s="243" t="s">
        <v>2442</v>
      </c>
      <c r="P255" s="151">
        <f t="shared" si="0"/>
        <v>3.1309605211069513E-3</v>
      </c>
      <c r="R255" s="151">
        <v>-0.05</v>
      </c>
      <c r="S255" s="2">
        <v>2</v>
      </c>
      <c r="T255" s="147"/>
      <c r="U255" s="161">
        <f t="shared" si="3"/>
        <v>-5.2499999999999977E-2</v>
      </c>
      <c r="V255" s="2">
        <f t="shared" si="2"/>
        <v>1.4499521095634629</v>
      </c>
      <c r="X255" s="164" t="s">
        <v>1437</v>
      </c>
      <c r="Y255" s="151">
        <f>$T$236+$T$238*2</f>
        <v>4.7514901739026498E-2</v>
      </c>
      <c r="Z255" s="2">
        <v>0</v>
      </c>
      <c r="AQ255" s="2" t="s">
        <v>617</v>
      </c>
    </row>
    <row r="256" spans="2:43" ht="14.25" customHeight="1">
      <c r="B256" s="243">
        <v>628.22</v>
      </c>
      <c r="C256" s="243">
        <v>629.77</v>
      </c>
      <c r="D256" s="243">
        <v>626.1</v>
      </c>
      <c r="E256" s="243">
        <v>629.65</v>
      </c>
      <c r="F256" s="243">
        <v>6065826</v>
      </c>
      <c r="G256" s="243" t="s">
        <v>2443</v>
      </c>
      <c r="H256" s="151">
        <f t="shared" si="1"/>
        <v>-2.2711029937265703E-3</v>
      </c>
      <c r="J256" s="243">
        <v>280.29000000000002</v>
      </c>
      <c r="K256" s="243">
        <v>283.8399</v>
      </c>
      <c r="L256" s="243">
        <v>276.44</v>
      </c>
      <c r="M256" s="243">
        <v>280</v>
      </c>
      <c r="N256" s="243">
        <v>428298</v>
      </c>
      <c r="O256" s="243" t="s">
        <v>2443</v>
      </c>
      <c r="P256" s="151">
        <f t="shared" si="0"/>
        <v>1.0357142857142509E-3</v>
      </c>
      <c r="R256" s="151">
        <v>-4.7499999999999973E-2</v>
      </c>
      <c r="S256" s="2">
        <v>7</v>
      </c>
      <c r="T256" s="147"/>
      <c r="U256" s="161">
        <f t="shared" si="3"/>
        <v>-4.9999999999999975E-2</v>
      </c>
      <c r="V256" s="2">
        <f t="shared" si="2"/>
        <v>1.8205734761691441</v>
      </c>
      <c r="Y256" s="151">
        <f>$T$236+$T$238*2</f>
        <v>4.7514901739026498E-2</v>
      </c>
      <c r="Z256" s="2">
        <v>3</v>
      </c>
      <c r="AQ256" s="2" t="s">
        <v>616</v>
      </c>
    </row>
    <row r="257" spans="2:44" ht="14.25" customHeight="1">
      <c r="B257" s="243">
        <v>627.91</v>
      </c>
      <c r="C257" s="243">
        <v>628.49</v>
      </c>
      <c r="D257" s="243">
        <v>624.07000000000005</v>
      </c>
      <c r="E257" s="243">
        <v>625.16</v>
      </c>
      <c r="F257" s="243">
        <v>5610874</v>
      </c>
      <c r="G257" s="243" t="s">
        <v>2444</v>
      </c>
      <c r="H257" s="151">
        <f t="shared" si="1"/>
        <v>4.3988738882845269E-3</v>
      </c>
      <c r="J257" s="243">
        <v>279.68</v>
      </c>
      <c r="K257" s="243">
        <v>279.92</v>
      </c>
      <c r="L257" s="243">
        <v>271.315</v>
      </c>
      <c r="M257" s="243">
        <v>272.93</v>
      </c>
      <c r="N257" s="243">
        <v>348608</v>
      </c>
      <c r="O257" s="243" t="s">
        <v>2444</v>
      </c>
      <c r="P257" s="151">
        <f t="shared" ref="P257:P320" si="4">J257/M257-1</f>
        <v>2.473161616531705E-2</v>
      </c>
      <c r="R257" s="151">
        <v>-4.4999999999999971E-2</v>
      </c>
      <c r="S257" s="2">
        <v>5</v>
      </c>
      <c r="T257" s="147"/>
      <c r="U257" s="161">
        <f t="shared" si="3"/>
        <v>-4.7499999999999973E-2</v>
      </c>
      <c r="V257" s="2">
        <f t="shared" si="2"/>
        <v>2.2607093479386338</v>
      </c>
      <c r="X257" s="164" t="s">
        <v>1438</v>
      </c>
      <c r="Y257" s="151">
        <f>$T$236+$T$238*3</f>
        <v>7.1250338389199752E-2</v>
      </c>
      <c r="Z257" s="2">
        <v>0</v>
      </c>
      <c r="AR257" s="2" t="s">
        <v>2207</v>
      </c>
    </row>
    <row r="258" spans="2:44" ht="14.25" customHeight="1">
      <c r="B258" s="243">
        <v>626.47</v>
      </c>
      <c r="C258" s="243">
        <v>627.21</v>
      </c>
      <c r="D258" s="243">
        <v>620.66</v>
      </c>
      <c r="E258" s="243">
        <v>622.69000000000005</v>
      </c>
      <c r="F258" s="243">
        <v>8383792</v>
      </c>
      <c r="G258" s="243" t="s">
        <v>2445</v>
      </c>
      <c r="H258" s="151">
        <f t="shared" ref="H258:H321" si="5">B258/E258-1</f>
        <v>6.0704363326855582E-3</v>
      </c>
      <c r="J258" s="243">
        <v>270.55</v>
      </c>
      <c r="K258" s="243">
        <v>270.8</v>
      </c>
      <c r="L258" s="243">
        <v>262.94</v>
      </c>
      <c r="M258" s="243">
        <v>266.60000000000002</v>
      </c>
      <c r="N258" s="243">
        <v>535966</v>
      </c>
      <c r="O258" s="243" t="s">
        <v>2445</v>
      </c>
      <c r="P258" s="151">
        <f t="shared" si="4"/>
        <v>1.4816204051012694E-2</v>
      </c>
      <c r="R258" s="151">
        <v>-4.2499999999999968E-2</v>
      </c>
      <c r="S258" s="2">
        <v>2</v>
      </c>
      <c r="T258" s="147"/>
      <c r="U258" s="161">
        <f t="shared" si="3"/>
        <v>-4.4999999999999971E-2</v>
      </c>
      <c r="V258" s="2">
        <f t="shared" si="2"/>
        <v>2.7762796822559572</v>
      </c>
      <c r="X258" s="164"/>
      <c r="Y258" s="151">
        <f>$T$236+$T$238*3</f>
        <v>7.1250338389199752E-2</v>
      </c>
      <c r="Z258" s="2">
        <v>1</v>
      </c>
      <c r="AP258" s="2" t="s">
        <v>1838</v>
      </c>
    </row>
    <row r="259" spans="2:44" ht="14.25" customHeight="1">
      <c r="B259" s="243">
        <v>616.89</v>
      </c>
      <c r="C259" s="243">
        <v>617.02</v>
      </c>
      <c r="D259" s="243">
        <v>607.91999999999996</v>
      </c>
      <c r="E259" s="243">
        <v>614.09</v>
      </c>
      <c r="F259" s="243">
        <v>7527198</v>
      </c>
      <c r="G259" s="243" t="s">
        <v>2446</v>
      </c>
      <c r="H259" s="151">
        <f t="shared" si="5"/>
        <v>4.5595922421794999E-3</v>
      </c>
      <c r="J259" s="243">
        <v>266.19</v>
      </c>
      <c r="K259" s="243">
        <v>270</v>
      </c>
      <c r="L259" s="243">
        <v>259.14</v>
      </c>
      <c r="M259" s="243">
        <v>264.56</v>
      </c>
      <c r="N259" s="243">
        <v>636048</v>
      </c>
      <c r="O259" s="243" t="s">
        <v>2446</v>
      </c>
      <c r="P259" s="151">
        <f t="shared" si="4"/>
        <v>6.1611732688235943E-3</v>
      </c>
      <c r="R259" s="151">
        <v>-3.9999999999999966E-2</v>
      </c>
      <c r="S259" s="2">
        <v>12</v>
      </c>
      <c r="T259" s="147"/>
      <c r="U259" s="161">
        <f t="shared" si="3"/>
        <v>-4.2499999999999968E-2</v>
      </c>
      <c r="V259" s="2">
        <f t="shared" si="2"/>
        <v>3.3718144327480482</v>
      </c>
      <c r="AQ259" s="2" t="s">
        <v>619</v>
      </c>
    </row>
    <row r="260" spans="2:44" ht="14.25" customHeight="1">
      <c r="B260" s="243">
        <v>616.24</v>
      </c>
      <c r="C260" s="243">
        <v>622.79</v>
      </c>
      <c r="D260" s="243">
        <v>614.82000000000005</v>
      </c>
      <c r="E260" s="243">
        <v>621.96</v>
      </c>
      <c r="F260" s="243">
        <v>7032116</v>
      </c>
      <c r="G260" s="243" t="s">
        <v>2447</v>
      </c>
      <c r="H260" s="151">
        <f t="shared" si="5"/>
        <v>-9.1967329088687988E-3</v>
      </c>
      <c r="J260" s="243">
        <v>264.61</v>
      </c>
      <c r="K260" s="243">
        <v>272</v>
      </c>
      <c r="L260" s="243">
        <v>258.58999999999997</v>
      </c>
      <c r="M260" s="243">
        <v>259.79000000000002</v>
      </c>
      <c r="N260" s="243">
        <v>1111194</v>
      </c>
      <c r="O260" s="243" t="s">
        <v>2447</v>
      </c>
      <c r="P260" s="151">
        <f t="shared" si="4"/>
        <v>1.8553447014896696E-2</v>
      </c>
      <c r="R260" s="151">
        <v>-3.7499999999999964E-2</v>
      </c>
      <c r="S260" s="2">
        <v>8</v>
      </c>
      <c r="T260" s="147"/>
      <c r="U260" s="161">
        <f t="shared" si="3"/>
        <v>-3.9999999999999966E-2</v>
      </c>
      <c r="V260" s="2">
        <f t="shared" si="2"/>
        <v>4.0499166160503819</v>
      </c>
      <c r="AP260" s="2" t="s">
        <v>2054</v>
      </c>
    </row>
    <row r="261" spans="2:44" ht="14.25" customHeight="1">
      <c r="B261" s="243">
        <v>622.86</v>
      </c>
      <c r="C261" s="243">
        <v>626</v>
      </c>
      <c r="D261" s="243">
        <v>619.83000000000004</v>
      </c>
      <c r="E261" s="243">
        <v>620.59</v>
      </c>
      <c r="F261" s="243">
        <v>10264461</v>
      </c>
      <c r="G261" s="243" t="s">
        <v>2448</v>
      </c>
      <c r="H261" s="151">
        <f t="shared" si="5"/>
        <v>3.6578095038592995E-3</v>
      </c>
      <c r="J261" s="243">
        <v>225.54</v>
      </c>
      <c r="K261" s="243">
        <v>236.32499999999999</v>
      </c>
      <c r="L261" s="243">
        <v>225.52</v>
      </c>
      <c r="M261" s="243">
        <v>232</v>
      </c>
      <c r="N261" s="243">
        <v>593693</v>
      </c>
      <c r="O261" s="243" t="s">
        <v>2448</v>
      </c>
      <c r="P261" s="151">
        <f t="shared" si="4"/>
        <v>-2.7844827586206877E-2</v>
      </c>
      <c r="R261" s="151">
        <v>-3.4999999999999962E-2</v>
      </c>
      <c r="S261" s="2">
        <v>10</v>
      </c>
      <c r="T261" s="147"/>
      <c r="U261" s="161">
        <f t="shared" si="3"/>
        <v>-3.7499999999999964E-2</v>
      </c>
      <c r="V261" s="2">
        <f t="shared" si="2"/>
        <v>4.8107242477304064</v>
      </c>
      <c r="AQ261" s="2" t="s">
        <v>2208</v>
      </c>
    </row>
    <row r="262" spans="2:44" ht="14.25" customHeight="1">
      <c r="B262" s="243">
        <v>620.99</v>
      </c>
      <c r="C262" s="243">
        <v>625.16999999999996</v>
      </c>
      <c r="D262" s="243">
        <v>620.20000000000005</v>
      </c>
      <c r="E262" s="243">
        <v>621.65</v>
      </c>
      <c r="F262" s="243">
        <v>8203353</v>
      </c>
      <c r="G262" s="243" t="s">
        <v>2449</v>
      </c>
      <c r="H262" s="151">
        <f t="shared" si="5"/>
        <v>-1.0616906619479449E-3</v>
      </c>
      <c r="J262" s="243">
        <v>235.08</v>
      </c>
      <c r="K262" s="243">
        <v>235.58699999999999</v>
      </c>
      <c r="L262" s="243">
        <v>227.36500000000001</v>
      </c>
      <c r="M262" s="243">
        <v>227.58</v>
      </c>
      <c r="N262" s="243">
        <v>566777</v>
      </c>
      <c r="O262" s="243" t="s">
        <v>2449</v>
      </c>
      <c r="P262" s="151">
        <f t="shared" si="4"/>
        <v>3.2955444239388454E-2</v>
      </c>
      <c r="R262" s="151">
        <v>-3.2499999999999959E-2</v>
      </c>
      <c r="S262" s="2">
        <v>6</v>
      </c>
      <c r="T262" s="147"/>
      <c r="U262" s="161">
        <f t="shared" si="3"/>
        <v>-3.4999999999999962E-2</v>
      </c>
      <c r="V262" s="2">
        <f t="shared" si="2"/>
        <v>5.6514099466034819</v>
      </c>
      <c r="AP262" s="2" t="s">
        <v>2055</v>
      </c>
    </row>
    <row r="263" spans="2:44" ht="14.25" customHeight="1">
      <c r="B263" s="243">
        <v>628.27</v>
      </c>
      <c r="C263" s="243">
        <v>630.54</v>
      </c>
      <c r="D263" s="243">
        <v>625.16</v>
      </c>
      <c r="E263" s="243">
        <v>630.41999999999996</v>
      </c>
      <c r="F263" s="243">
        <v>5510227</v>
      </c>
      <c r="G263" s="243" t="s">
        <v>2450</v>
      </c>
      <c r="H263" s="151">
        <f t="shared" si="5"/>
        <v>-3.4104247961675993E-3</v>
      </c>
      <c r="J263" s="243">
        <v>226.19</v>
      </c>
      <c r="K263" s="243">
        <v>226.505</v>
      </c>
      <c r="L263" s="243">
        <v>221.26</v>
      </c>
      <c r="M263" s="243">
        <v>225.6</v>
      </c>
      <c r="N263" s="243">
        <v>492901</v>
      </c>
      <c r="O263" s="243" t="s">
        <v>2450</v>
      </c>
      <c r="P263" s="151">
        <f t="shared" si="4"/>
        <v>2.6152482269503619E-3</v>
      </c>
      <c r="R263" s="151">
        <v>-2.9999999999999961E-2</v>
      </c>
      <c r="S263" s="2">
        <v>11</v>
      </c>
      <c r="T263" s="147"/>
      <c r="U263" s="161">
        <f t="shared" si="3"/>
        <v>-3.2499999999999959E-2</v>
      </c>
      <c r="V263" s="2">
        <f t="shared" si="2"/>
        <v>6.5657618383029748</v>
      </c>
      <c r="AP263" s="2" t="s">
        <v>1992</v>
      </c>
    </row>
    <row r="264" spans="2:44" ht="14.25" customHeight="1">
      <c r="B264" s="243">
        <v>627.04</v>
      </c>
      <c r="C264" s="243">
        <v>629.94000000000005</v>
      </c>
      <c r="D264" s="243">
        <v>624.5</v>
      </c>
      <c r="E264" s="243">
        <v>629.84</v>
      </c>
      <c r="F264" s="243">
        <v>7019277</v>
      </c>
      <c r="G264" s="243" t="s">
        <v>2451</v>
      </c>
      <c r="H264" s="151">
        <f t="shared" si="5"/>
        <v>-4.4455734789788925E-3</v>
      </c>
      <c r="J264" s="243">
        <v>227.37</v>
      </c>
      <c r="K264" s="243">
        <v>231.655</v>
      </c>
      <c r="L264" s="243">
        <v>225.46</v>
      </c>
      <c r="M264" s="243">
        <v>230.92</v>
      </c>
      <c r="N264" s="243">
        <v>575731</v>
      </c>
      <c r="O264" s="243" t="s">
        <v>2451</v>
      </c>
      <c r="P264" s="151">
        <f t="shared" si="4"/>
        <v>-1.5373289450892003E-2</v>
      </c>
      <c r="R264" s="151">
        <v>-2.7499999999999962E-2</v>
      </c>
      <c r="S264" s="2">
        <v>9</v>
      </c>
      <c r="T264" s="147"/>
      <c r="U264" s="161">
        <f t="shared" si="3"/>
        <v>-2.9999999999999961E-2</v>
      </c>
      <c r="V264" s="2">
        <f t="shared" si="2"/>
        <v>7.5438910035155198</v>
      </c>
      <c r="AQ264" s="2" t="s">
        <v>1959</v>
      </c>
    </row>
    <row r="265" spans="2:44" ht="14.25" customHeight="1">
      <c r="B265" s="243">
        <v>625.24</v>
      </c>
      <c r="C265" s="243">
        <v>630.63</v>
      </c>
      <c r="D265" s="243">
        <v>625.1</v>
      </c>
      <c r="E265" s="243">
        <v>628.80999999999995</v>
      </c>
      <c r="F265" s="243">
        <v>6171678</v>
      </c>
      <c r="G265" s="243" t="s">
        <v>2452</v>
      </c>
      <c r="H265" s="151">
        <f t="shared" si="5"/>
        <v>-5.6773906267393315E-3</v>
      </c>
      <c r="J265" s="243">
        <v>231.54</v>
      </c>
      <c r="K265" s="243">
        <v>236.92</v>
      </c>
      <c r="L265" s="243">
        <v>229.95</v>
      </c>
      <c r="M265" s="243">
        <v>233.57</v>
      </c>
      <c r="N265" s="243">
        <v>336675</v>
      </c>
      <c r="O265" s="243" t="s">
        <v>2452</v>
      </c>
      <c r="P265" s="151">
        <f t="shared" si="4"/>
        <v>-8.6911846555636219E-3</v>
      </c>
      <c r="R265" s="151">
        <v>-2.4999999999999963E-2</v>
      </c>
      <c r="S265" s="2">
        <v>25</v>
      </c>
      <c r="T265" s="147"/>
      <c r="U265" s="161">
        <f t="shared" si="3"/>
        <v>-2.7499999999999962E-2</v>
      </c>
      <c r="V265" s="2">
        <f t="shared" si="2"/>
        <v>8.5721083205778896</v>
      </c>
      <c r="AR265" s="2" t="s">
        <v>589</v>
      </c>
    </row>
    <row r="266" spans="2:44" ht="14.25" customHeight="1">
      <c r="B266" s="243">
        <v>631.95000000000005</v>
      </c>
      <c r="C266" s="243">
        <v>634.13</v>
      </c>
      <c r="D266" s="243">
        <v>627.87</v>
      </c>
      <c r="E266" s="243">
        <v>633.21</v>
      </c>
      <c r="F266" s="243">
        <v>6037388</v>
      </c>
      <c r="G266" s="243" t="s">
        <v>2453</v>
      </c>
      <c r="H266" s="151">
        <f t="shared" si="5"/>
        <v>-1.9898611834936464E-3</v>
      </c>
      <c r="J266" s="243">
        <v>233.37</v>
      </c>
      <c r="K266" s="243">
        <v>239.01</v>
      </c>
      <c r="L266" s="243">
        <v>228.72</v>
      </c>
      <c r="M266" s="243">
        <v>234.26</v>
      </c>
      <c r="N266" s="243">
        <v>485212</v>
      </c>
      <c r="O266" s="243" t="s">
        <v>2453</v>
      </c>
      <c r="P266" s="151">
        <f t="shared" si="4"/>
        <v>-3.7991974728932565E-3</v>
      </c>
      <c r="R266" s="151">
        <v>-2.2499999999999964E-2</v>
      </c>
      <c r="S266" s="2">
        <v>32</v>
      </c>
      <c r="T266" s="147"/>
      <c r="U266" s="161">
        <f t="shared" si="3"/>
        <v>-2.4999999999999963E-2</v>
      </c>
      <c r="V266" s="2">
        <f t="shared" si="2"/>
        <v>9.6330066812697073</v>
      </c>
      <c r="AR266" s="2" t="s">
        <v>590</v>
      </c>
    </row>
    <row r="267" spans="2:44" ht="14.25" customHeight="1">
      <c r="B267" s="243">
        <v>631.69000000000005</v>
      </c>
      <c r="C267" s="243">
        <v>633.39</v>
      </c>
      <c r="D267" s="243">
        <v>629.64</v>
      </c>
      <c r="E267" s="243">
        <v>631.71</v>
      </c>
      <c r="F267" s="243">
        <v>5575277</v>
      </c>
      <c r="G267" s="243" t="s">
        <v>2454</v>
      </c>
      <c r="H267" s="151">
        <f t="shared" si="5"/>
        <v>-3.1660097196462011E-5</v>
      </c>
      <c r="J267" s="243">
        <v>235.5</v>
      </c>
      <c r="K267" s="243">
        <v>247.76990000000001</v>
      </c>
      <c r="L267" s="243">
        <v>232.51</v>
      </c>
      <c r="M267" s="243">
        <v>246.34</v>
      </c>
      <c r="N267" s="243">
        <v>612769</v>
      </c>
      <c r="O267" s="243" t="s">
        <v>2454</v>
      </c>
      <c r="P267" s="151">
        <f t="shared" si="4"/>
        <v>-4.400422180725827E-2</v>
      </c>
      <c r="R267" s="151">
        <v>-1.9999999999999966E-2</v>
      </c>
      <c r="S267" s="2">
        <v>18</v>
      </c>
      <c r="T267" s="147"/>
      <c r="U267" s="161">
        <f t="shared" si="3"/>
        <v>-2.2499999999999964E-2</v>
      </c>
      <c r="V267" s="2">
        <f t="shared" si="2"/>
        <v>10.705773195297178</v>
      </c>
      <c r="AN267" s="153"/>
      <c r="AO267" s="1" t="s">
        <v>1917</v>
      </c>
    </row>
    <row r="268" spans="2:44" ht="14.25" customHeight="1">
      <c r="B268" s="243">
        <v>630</v>
      </c>
      <c r="C268" s="243">
        <v>630.29</v>
      </c>
      <c r="D268" s="243">
        <v>627.16</v>
      </c>
      <c r="E268" s="243">
        <v>627.74</v>
      </c>
      <c r="F268" s="243">
        <v>7804316</v>
      </c>
      <c r="G268" s="243" t="s">
        <v>2455</v>
      </c>
      <c r="H268" s="151">
        <f t="shared" si="5"/>
        <v>3.600216650205379E-3</v>
      </c>
      <c r="J268" s="243">
        <v>247.99</v>
      </c>
      <c r="K268" s="243">
        <v>260</v>
      </c>
      <c r="L268" s="243">
        <v>245.81</v>
      </c>
      <c r="M268" s="243">
        <v>259.38</v>
      </c>
      <c r="N268" s="243">
        <v>428649</v>
      </c>
      <c r="O268" s="243" t="s">
        <v>2455</v>
      </c>
      <c r="P268" s="151">
        <f t="shared" si="4"/>
        <v>-4.3912406507826351E-2</v>
      </c>
      <c r="R268" s="151">
        <v>-1.7499999999999967E-2</v>
      </c>
      <c r="S268" s="2">
        <v>27</v>
      </c>
      <c r="T268" s="147"/>
      <c r="U268" s="161">
        <f t="shared" si="3"/>
        <v>-1.9999999999999966E-2</v>
      </c>
      <c r="V268" s="2">
        <f t="shared" si="2"/>
        <v>11.766740650092308</v>
      </c>
      <c r="AP268" s="2" t="s">
        <v>1918</v>
      </c>
    </row>
    <row r="269" spans="2:44" ht="14.25" customHeight="1">
      <c r="B269" s="243">
        <v>622.54999999999995</v>
      </c>
      <c r="C269" s="243">
        <v>623.78989999999999</v>
      </c>
      <c r="D269" s="243">
        <v>621.20699999999999</v>
      </c>
      <c r="E269" s="243">
        <v>621.91999999999996</v>
      </c>
      <c r="F269" s="243">
        <v>5650844</v>
      </c>
      <c r="G269" s="243" t="s">
        <v>2456</v>
      </c>
      <c r="H269" s="151">
        <f t="shared" si="5"/>
        <v>1.0129920246977342E-3</v>
      </c>
      <c r="J269" s="243">
        <v>252.99</v>
      </c>
      <c r="K269" s="243">
        <v>255.82</v>
      </c>
      <c r="L269" s="243">
        <v>248.58</v>
      </c>
      <c r="M269" s="243">
        <v>254.59</v>
      </c>
      <c r="N269" s="243">
        <v>324183</v>
      </c>
      <c r="O269" s="243" t="s">
        <v>2456</v>
      </c>
      <c r="P269" s="151">
        <f t="shared" si="4"/>
        <v>-6.2846144781806279E-3</v>
      </c>
      <c r="R269" s="151">
        <v>-1.4999999999999966E-2</v>
      </c>
      <c r="S269" s="2">
        <v>24</v>
      </c>
      <c r="T269" s="147"/>
      <c r="U269" s="161">
        <f t="shared" si="3"/>
        <v>-1.7499999999999967E-2</v>
      </c>
      <c r="V269" s="2">
        <f t="shared" si="2"/>
        <v>12.790169204825574</v>
      </c>
      <c r="AQ269" s="2" t="s">
        <v>1922</v>
      </c>
    </row>
    <row r="270" spans="2:44" ht="14.25" customHeight="1">
      <c r="B270" s="243">
        <v>617.44000000000005</v>
      </c>
      <c r="C270" s="243">
        <v>618.47400000000005</v>
      </c>
      <c r="D270" s="243">
        <v>613.99</v>
      </c>
      <c r="E270" s="243">
        <v>614.25</v>
      </c>
      <c r="F270" s="243">
        <v>5825360</v>
      </c>
      <c r="G270" s="243" t="s">
        <v>2457</v>
      </c>
      <c r="H270" s="151">
        <f t="shared" si="5"/>
        <v>5.1933251933253821E-3</v>
      </c>
      <c r="J270" s="243">
        <v>253.51</v>
      </c>
      <c r="K270" s="243">
        <v>254.45</v>
      </c>
      <c r="L270" s="243">
        <v>248.22</v>
      </c>
      <c r="M270" s="243">
        <v>251.73</v>
      </c>
      <c r="N270" s="243">
        <v>223184</v>
      </c>
      <c r="O270" s="243" t="s">
        <v>2457</v>
      </c>
      <c r="P270" s="151">
        <f t="shared" si="4"/>
        <v>7.0710682080006304E-3</v>
      </c>
      <c r="R270" s="151">
        <v>-1.2499999999999966E-2</v>
      </c>
      <c r="S270" s="2">
        <v>42</v>
      </c>
      <c r="T270" s="147"/>
      <c r="U270" s="161">
        <f t="shared" si="3"/>
        <v>-1.4999999999999966E-2</v>
      </c>
      <c r="V270" s="2">
        <f t="shared" si="2"/>
        <v>13.749229599812042</v>
      </c>
      <c r="AP270" s="2" t="s">
        <v>591</v>
      </c>
    </row>
    <row r="271" spans="2:44" ht="14.25" customHeight="1">
      <c r="B271" s="243">
        <v>613.97</v>
      </c>
      <c r="C271" s="243">
        <v>617.83000000000004</v>
      </c>
      <c r="D271" s="243">
        <v>609.83000000000004</v>
      </c>
      <c r="E271" s="243">
        <v>617.83000000000004</v>
      </c>
      <c r="F271" s="243">
        <v>6119026</v>
      </c>
      <c r="G271" s="243" t="s">
        <v>2458</v>
      </c>
      <c r="H271" s="151">
        <f t="shared" si="5"/>
        <v>-6.247673308191648E-3</v>
      </c>
      <c r="J271" s="243">
        <v>252.03</v>
      </c>
      <c r="K271" s="243">
        <v>255.45</v>
      </c>
      <c r="L271" s="243">
        <v>249.13</v>
      </c>
      <c r="M271" s="243">
        <v>251.31</v>
      </c>
      <c r="N271" s="243">
        <v>328998</v>
      </c>
      <c r="O271" s="243" t="s">
        <v>2458</v>
      </c>
      <c r="P271" s="151">
        <f t="shared" si="4"/>
        <v>2.8649874656798691E-3</v>
      </c>
      <c r="R271" s="151">
        <v>-9.9999999999999655E-3</v>
      </c>
      <c r="S271" s="2">
        <v>53</v>
      </c>
      <c r="T271" s="147"/>
      <c r="U271" s="161">
        <f t="shared" si="3"/>
        <v>-1.2499999999999966E-2</v>
      </c>
      <c r="V271" s="2">
        <f t="shared" si="2"/>
        <v>14.617139933671012</v>
      </c>
      <c r="AP271" s="2" t="s">
        <v>1999</v>
      </c>
    </row>
    <row r="272" spans="2:44" ht="14.25" customHeight="1">
      <c r="B272" s="243">
        <v>617.09</v>
      </c>
      <c r="C272" s="243">
        <v>618.74</v>
      </c>
      <c r="D272" s="243">
        <v>615.98099999999999</v>
      </c>
      <c r="E272" s="243">
        <v>617.33000000000004</v>
      </c>
      <c r="F272" s="243">
        <v>4156131</v>
      </c>
      <c r="G272" s="243" t="s">
        <v>2459</v>
      </c>
      <c r="H272" s="151">
        <f t="shared" si="5"/>
        <v>-3.8877099768364065E-4</v>
      </c>
      <c r="J272" s="243">
        <v>249</v>
      </c>
      <c r="K272" s="243">
        <v>249.71</v>
      </c>
      <c r="L272" s="243">
        <v>246.37</v>
      </c>
      <c r="M272" s="243">
        <v>247.57</v>
      </c>
      <c r="N272" s="243">
        <v>375366</v>
      </c>
      <c r="O272" s="243" t="s">
        <v>2459</v>
      </c>
      <c r="P272" s="151">
        <f t="shared" si="4"/>
        <v>5.7761441208548092E-3</v>
      </c>
      <c r="R272" s="151">
        <v>-7.499999999999965E-3</v>
      </c>
      <c r="S272" s="2">
        <v>48</v>
      </c>
      <c r="T272" s="147"/>
      <c r="U272" s="161">
        <f t="shared" si="3"/>
        <v>-9.9999999999999655E-3</v>
      </c>
      <c r="V272" s="2">
        <f t="shared" si="2"/>
        <v>15.36839133299037</v>
      </c>
      <c r="AQ272" s="2" t="s">
        <v>1892</v>
      </c>
    </row>
    <row r="273" spans="2:44" ht="14.25" customHeight="1">
      <c r="B273" s="243">
        <v>617.16999999999996</v>
      </c>
      <c r="C273" s="243">
        <v>618.01</v>
      </c>
      <c r="D273" s="243">
        <v>613.51</v>
      </c>
      <c r="E273" s="243">
        <v>613.51</v>
      </c>
      <c r="F273" s="243">
        <v>4049225</v>
      </c>
      <c r="G273" s="243" t="s">
        <v>2460</v>
      </c>
      <c r="H273" s="151">
        <f t="shared" si="5"/>
        <v>5.9656729311665657E-3</v>
      </c>
      <c r="J273" s="243">
        <v>247.62</v>
      </c>
      <c r="K273" s="243">
        <v>252.45249999999999</v>
      </c>
      <c r="L273" s="243">
        <v>242.8</v>
      </c>
      <c r="M273" s="243">
        <v>251.14</v>
      </c>
      <c r="N273" s="243">
        <v>377053</v>
      </c>
      <c r="O273" s="243" t="s">
        <v>2460</v>
      </c>
      <c r="P273" s="151">
        <f t="shared" si="4"/>
        <v>-1.4016086644899173E-2</v>
      </c>
      <c r="R273" s="151">
        <v>-4.9999999999999645E-3</v>
      </c>
      <c r="S273" s="2">
        <v>47</v>
      </c>
      <c r="T273" s="147"/>
      <c r="U273" s="161">
        <f t="shared" si="3"/>
        <v>-7.499999999999965E-3</v>
      </c>
      <c r="V273" s="2">
        <f t="shared" si="2"/>
        <v>15.9799855593025</v>
      </c>
      <c r="AQ273" s="2" t="s">
        <v>1950</v>
      </c>
    </row>
    <row r="274" spans="2:44" ht="14.25" customHeight="1">
      <c r="B274" s="243">
        <v>610.76</v>
      </c>
      <c r="C274" s="243">
        <v>612.02</v>
      </c>
      <c r="D274" s="243">
        <v>605.1</v>
      </c>
      <c r="E274" s="243">
        <v>606.34</v>
      </c>
      <c r="F274" s="243">
        <v>6884090</v>
      </c>
      <c r="G274" s="243" t="s">
        <v>2461</v>
      </c>
      <c r="H274" s="151">
        <f t="shared" si="5"/>
        <v>7.289639476201426E-3</v>
      </c>
      <c r="J274" s="243">
        <v>249</v>
      </c>
      <c r="K274" s="243">
        <v>254.55</v>
      </c>
      <c r="L274" s="243">
        <v>248.89</v>
      </c>
      <c r="M274" s="243">
        <v>254.55</v>
      </c>
      <c r="N274" s="243">
        <v>337466</v>
      </c>
      <c r="O274" s="243" t="s">
        <v>2461</v>
      </c>
      <c r="P274" s="151">
        <f t="shared" si="4"/>
        <v>-2.1803182086034267E-2</v>
      </c>
      <c r="R274" s="151">
        <v>-2.4999999999999645E-3</v>
      </c>
      <c r="S274" s="2">
        <v>49</v>
      </c>
      <c r="T274" s="147"/>
      <c r="U274" s="161">
        <f t="shared" si="3"/>
        <v>-4.9999999999999645E-3</v>
      </c>
      <c r="V274" s="2">
        <f t="shared" si="2"/>
        <v>16.432601375481386</v>
      </c>
      <c r="AP274" s="2" t="s">
        <v>1919</v>
      </c>
    </row>
    <row r="275" spans="2:44" ht="14.25" customHeight="1">
      <c r="B275" s="243">
        <v>607.39</v>
      </c>
      <c r="C275" s="243">
        <v>614.79999999999995</v>
      </c>
      <c r="D275" s="243">
        <v>604.14</v>
      </c>
      <c r="E275" s="243">
        <v>613.11</v>
      </c>
      <c r="F275" s="243">
        <v>7533209</v>
      </c>
      <c r="G275" s="243" t="s">
        <v>2462</v>
      </c>
      <c r="H275" s="151">
        <f t="shared" si="5"/>
        <v>-9.3294841056255073E-3</v>
      </c>
      <c r="J275" s="243">
        <v>253.84</v>
      </c>
      <c r="K275" s="243">
        <v>254.405</v>
      </c>
      <c r="L275" s="243">
        <v>250.29499999999999</v>
      </c>
      <c r="M275" s="243">
        <v>254.14</v>
      </c>
      <c r="N275" s="243">
        <v>201840</v>
      </c>
      <c r="O275" s="243" t="s">
        <v>2462</v>
      </c>
      <c r="P275" s="151">
        <f t="shared" si="4"/>
        <v>-1.1804517195246333E-3</v>
      </c>
      <c r="R275" s="151">
        <v>3.5561831257524545E-17</v>
      </c>
      <c r="S275" s="2">
        <v>51</v>
      </c>
      <c r="T275" s="147"/>
      <c r="U275" s="161">
        <f t="shared" si="3"/>
        <v>-2.4999999999999645E-3</v>
      </c>
      <c r="V275" s="2">
        <f t="shared" si="2"/>
        <v>16.71160737402424</v>
      </c>
      <c r="AP275" s="2" t="s">
        <v>1923</v>
      </c>
    </row>
    <row r="276" spans="2:44" ht="14.25" customHeight="1">
      <c r="B276" s="243">
        <v>611.42999999999995</v>
      </c>
      <c r="C276" s="243">
        <v>616.20500000000004</v>
      </c>
      <c r="D276" s="243">
        <v>605.82000000000005</v>
      </c>
      <c r="E276" s="243">
        <v>613.07000000000005</v>
      </c>
      <c r="F276" s="243">
        <v>6474986</v>
      </c>
      <c r="G276" s="243" t="s">
        <v>2463</v>
      </c>
      <c r="H276" s="151">
        <f t="shared" si="5"/>
        <v>-2.6750615753504681E-3</v>
      </c>
      <c r="J276" s="243">
        <v>252.61</v>
      </c>
      <c r="K276" s="243">
        <v>256.15499999999997</v>
      </c>
      <c r="L276" s="243">
        <v>250.15</v>
      </c>
      <c r="M276" s="243">
        <v>253.34</v>
      </c>
      <c r="N276" s="243">
        <v>349477</v>
      </c>
      <c r="O276" s="243" t="s">
        <v>2463</v>
      </c>
      <c r="P276" s="151">
        <f t="shared" si="4"/>
        <v>-2.8815031183389017E-3</v>
      </c>
      <c r="R276" s="151">
        <v>2.5000000000000356E-3</v>
      </c>
      <c r="S276" s="2">
        <v>42</v>
      </c>
      <c r="T276" s="147"/>
      <c r="U276" s="161">
        <f t="shared" si="3"/>
        <v>3.5561831257524545E-17</v>
      </c>
      <c r="V276" s="2">
        <f t="shared" si="2"/>
        <v>16.807847267421494</v>
      </c>
      <c r="AQ276" s="2" t="s">
        <v>1924</v>
      </c>
    </row>
    <row r="277" spans="2:44" ht="14.25" customHeight="1">
      <c r="B277" s="243">
        <v>608.75</v>
      </c>
      <c r="C277" s="243">
        <v>612.14</v>
      </c>
      <c r="D277" s="243">
        <v>600.51</v>
      </c>
      <c r="E277" s="243">
        <v>604.20000000000005</v>
      </c>
      <c r="F277" s="243">
        <v>7469018</v>
      </c>
      <c r="G277" s="243" t="s">
        <v>2464</v>
      </c>
      <c r="H277" s="151">
        <f t="shared" si="5"/>
        <v>7.5306190003310292E-3</v>
      </c>
      <c r="J277" s="243">
        <v>254.94</v>
      </c>
      <c r="K277" s="243">
        <v>256.56</v>
      </c>
      <c r="L277" s="243">
        <v>250.74</v>
      </c>
      <c r="M277" s="243">
        <v>250.74</v>
      </c>
      <c r="N277" s="243">
        <v>182966</v>
      </c>
      <c r="O277" s="243" t="s">
        <v>2464</v>
      </c>
      <c r="P277" s="151">
        <f t="shared" si="4"/>
        <v>1.675041876046901E-2</v>
      </c>
      <c r="R277" s="151">
        <v>5.0000000000000357E-3</v>
      </c>
      <c r="S277" s="2">
        <v>61</v>
      </c>
      <c r="T277" s="147"/>
      <c r="U277" s="161">
        <f t="shared" si="3"/>
        <v>2.5000000000000356E-3</v>
      </c>
      <c r="V277" s="2">
        <f t="shared" ref="V277:V307" si="6">_xlfn.NORM.DIST(U277,$T$236,$T$238,FALSE)</f>
        <v>16.718138858766213</v>
      </c>
      <c r="AQ277" s="2" t="s">
        <v>1925</v>
      </c>
    </row>
    <row r="278" spans="2:44" ht="14.25" customHeight="1">
      <c r="B278" s="243">
        <v>609.61</v>
      </c>
      <c r="C278" s="243">
        <v>611.02719999999999</v>
      </c>
      <c r="D278" s="243">
        <v>606.57500000000005</v>
      </c>
      <c r="E278" s="243">
        <v>607.37</v>
      </c>
      <c r="F278" s="243">
        <v>6942460</v>
      </c>
      <c r="G278" s="243" t="s">
        <v>2465</v>
      </c>
      <c r="H278" s="151">
        <f t="shared" si="5"/>
        <v>3.6880320068493067E-3</v>
      </c>
      <c r="J278" s="243">
        <v>253.17</v>
      </c>
      <c r="K278" s="243">
        <v>265.51</v>
      </c>
      <c r="L278" s="243">
        <v>252.13499999999999</v>
      </c>
      <c r="M278" s="243">
        <v>260</v>
      </c>
      <c r="N278" s="243">
        <v>283576</v>
      </c>
      <c r="O278" s="243" t="s">
        <v>2465</v>
      </c>
      <c r="P278" s="151">
        <f t="shared" si="4"/>
        <v>-2.6269230769230822E-2</v>
      </c>
      <c r="R278" s="151">
        <v>7.5000000000000362E-3</v>
      </c>
      <c r="S278" s="2">
        <v>43</v>
      </c>
      <c r="T278" s="147"/>
      <c r="U278" s="161">
        <f t="shared" si="3"/>
        <v>5.0000000000000357E-3</v>
      </c>
      <c r="V278" s="2">
        <f t="shared" si="6"/>
        <v>16.445448764339275</v>
      </c>
      <c r="AR278" s="2" t="s">
        <v>1891</v>
      </c>
    </row>
    <row r="279" spans="2:44" ht="14.25" customHeight="1">
      <c r="B279" s="243">
        <v>600.51</v>
      </c>
      <c r="C279" s="243">
        <v>619.6</v>
      </c>
      <c r="D279" s="243">
        <v>600.23</v>
      </c>
      <c r="E279" s="243">
        <v>617.99</v>
      </c>
      <c r="F279" s="243">
        <v>13339202</v>
      </c>
      <c r="G279" s="243" t="s">
        <v>2466</v>
      </c>
      <c r="H279" s="151">
        <f t="shared" si="5"/>
        <v>-2.8285247334099317E-2</v>
      </c>
      <c r="J279" s="243">
        <v>260.49</v>
      </c>
      <c r="K279" s="243">
        <v>261.505</v>
      </c>
      <c r="L279" s="243">
        <v>256.88040000000001</v>
      </c>
      <c r="M279" s="243">
        <v>260.13</v>
      </c>
      <c r="N279" s="243">
        <v>292851</v>
      </c>
      <c r="O279" s="243" t="s">
        <v>2466</v>
      </c>
      <c r="P279" s="151">
        <f t="shared" si="4"/>
        <v>1.3839234229040542E-3</v>
      </c>
      <c r="R279" s="151">
        <v>1.0000000000000037E-2</v>
      </c>
      <c r="S279" s="2">
        <v>41</v>
      </c>
      <c r="T279" s="147"/>
      <c r="U279" s="161">
        <f t="shared" ref="U279:U306" si="7">U278+0.0025</f>
        <v>7.5000000000000362E-3</v>
      </c>
      <c r="V279" s="2">
        <f t="shared" si="6"/>
        <v>15.998729506696403</v>
      </c>
      <c r="AP279" s="1" t="s">
        <v>592</v>
      </c>
    </row>
    <row r="280" spans="2:44" ht="14.25" customHeight="1">
      <c r="B280" s="243">
        <v>617.1</v>
      </c>
      <c r="C280" s="243">
        <v>619.59</v>
      </c>
      <c r="D280" s="243">
        <v>615.28</v>
      </c>
      <c r="E280" s="243">
        <v>619.23</v>
      </c>
      <c r="F280" s="243">
        <v>5879748</v>
      </c>
      <c r="G280" s="243" t="s">
        <v>2467</v>
      </c>
      <c r="H280" s="151">
        <f t="shared" si="5"/>
        <v>-3.439755825783597E-3</v>
      </c>
      <c r="J280" s="243">
        <v>261.39</v>
      </c>
      <c r="K280" s="243">
        <v>264.10000000000002</v>
      </c>
      <c r="L280" s="243">
        <v>257.02</v>
      </c>
      <c r="M280" s="243">
        <v>258.95</v>
      </c>
      <c r="N280" s="243">
        <v>250478</v>
      </c>
      <c r="O280" s="243" t="s">
        <v>2467</v>
      </c>
      <c r="P280" s="151">
        <f t="shared" si="4"/>
        <v>9.422668468816342E-3</v>
      </c>
      <c r="R280" s="151">
        <v>1.2500000000000037E-2</v>
      </c>
      <c r="S280" s="2">
        <v>41</v>
      </c>
      <c r="T280" s="147"/>
      <c r="U280" s="161">
        <f t="shared" si="7"/>
        <v>1.0000000000000037E-2</v>
      </c>
      <c r="V280" s="2">
        <f t="shared" si="6"/>
        <v>15.392431456412524</v>
      </c>
      <c r="AO280" s="2" t="s">
        <v>1893</v>
      </c>
    </row>
    <row r="281" spans="2:44" ht="14.25" customHeight="1">
      <c r="B281" s="243">
        <v>618.77</v>
      </c>
      <c r="C281" s="243">
        <v>618.9</v>
      </c>
      <c r="D281" s="243">
        <v>615.46420000000001</v>
      </c>
      <c r="E281" s="243">
        <v>616.21500000000003</v>
      </c>
      <c r="F281" s="243">
        <v>5000436</v>
      </c>
      <c r="G281" s="243" t="s">
        <v>2468</v>
      </c>
      <c r="H281" s="151">
        <f t="shared" si="5"/>
        <v>4.1462801132721161E-3</v>
      </c>
      <c r="J281" s="243">
        <v>258.95</v>
      </c>
      <c r="K281" s="243">
        <v>260.08999999999997</v>
      </c>
      <c r="L281" s="243">
        <v>252.48</v>
      </c>
      <c r="M281" s="243">
        <v>259.02999999999997</v>
      </c>
      <c r="N281" s="243">
        <v>334316</v>
      </c>
      <c r="O281" s="243" t="s">
        <v>2468</v>
      </c>
      <c r="P281" s="151">
        <f t="shared" si="4"/>
        <v>-3.0884453538193579E-4</v>
      </c>
      <c r="R281" s="151">
        <v>1.5000000000000038E-2</v>
      </c>
      <c r="S281" s="2">
        <v>38</v>
      </c>
      <c r="T281" s="147"/>
      <c r="U281" s="161">
        <f t="shared" si="7"/>
        <v>1.2500000000000037E-2</v>
      </c>
      <c r="V281" s="2">
        <f t="shared" si="6"/>
        <v>14.645726735894916</v>
      </c>
      <c r="AP281" s="1" t="s">
        <v>1977</v>
      </c>
    </row>
    <row r="282" spans="2:44" ht="14.25" customHeight="1">
      <c r="B282" s="243">
        <v>615.20000000000005</v>
      </c>
      <c r="C282" s="243">
        <v>618.73929999999996</v>
      </c>
      <c r="D282" s="243">
        <v>613.82000000000005</v>
      </c>
      <c r="E282" s="243">
        <v>618.29999999999995</v>
      </c>
      <c r="F282" s="243">
        <v>7439508</v>
      </c>
      <c r="G282" s="243" t="s">
        <v>2469</v>
      </c>
      <c r="H282" s="151">
        <f t="shared" si="5"/>
        <v>-5.0137473718258052E-3</v>
      </c>
      <c r="J282" s="243">
        <v>249.04</v>
      </c>
      <c r="K282" s="243">
        <v>256.45999999999998</v>
      </c>
      <c r="L282" s="243">
        <v>245.125</v>
      </c>
      <c r="M282" s="243">
        <v>256.2</v>
      </c>
      <c r="N282" s="243">
        <v>390862</v>
      </c>
      <c r="O282" s="243" t="s">
        <v>2469</v>
      </c>
      <c r="P282" s="151">
        <f t="shared" si="4"/>
        <v>-2.79469164715066E-2</v>
      </c>
      <c r="R282" s="151">
        <v>1.7500000000000036E-2</v>
      </c>
      <c r="S282" s="2">
        <v>33</v>
      </c>
      <c r="T282" s="147"/>
      <c r="U282" s="161">
        <f t="shared" si="7"/>
        <v>1.5000000000000038E-2</v>
      </c>
      <c r="V282" s="2">
        <f t="shared" si="6"/>
        <v>13.781503218643312</v>
      </c>
      <c r="AQ282" s="2" t="s">
        <v>1978</v>
      </c>
    </row>
    <row r="283" spans="2:44" ht="14.25" customHeight="1">
      <c r="B283" s="243">
        <v>617.4</v>
      </c>
      <c r="C283" s="243">
        <v>618.28</v>
      </c>
      <c r="D283" s="243">
        <v>615.48</v>
      </c>
      <c r="E283" s="243">
        <v>617.46</v>
      </c>
      <c r="F283" s="243">
        <v>5958193</v>
      </c>
      <c r="G283" s="243" t="s">
        <v>2470</v>
      </c>
      <c r="H283" s="151">
        <f t="shared" si="5"/>
        <v>-9.7172286463997892E-5</v>
      </c>
      <c r="J283" s="243">
        <v>255.61</v>
      </c>
      <c r="K283" s="243">
        <v>260.41500000000002</v>
      </c>
      <c r="L283" s="243">
        <v>253.03</v>
      </c>
      <c r="M283" s="243">
        <v>257.70999999999998</v>
      </c>
      <c r="N283" s="243">
        <v>293381</v>
      </c>
      <c r="O283" s="243" t="s">
        <v>2470</v>
      </c>
      <c r="P283" s="151">
        <f t="shared" si="4"/>
        <v>-8.1486942687515329E-3</v>
      </c>
      <c r="R283" s="151">
        <v>2.0000000000000035E-2</v>
      </c>
      <c r="S283" s="2">
        <v>33</v>
      </c>
      <c r="T283" s="147"/>
      <c r="U283" s="161">
        <f t="shared" si="7"/>
        <v>1.7500000000000036E-2</v>
      </c>
      <c r="V283" s="2">
        <f t="shared" si="6"/>
        <v>12.825202199960415</v>
      </c>
      <c r="AQ283" s="2" t="s">
        <v>1702</v>
      </c>
    </row>
    <row r="284" spans="2:44" ht="14.25" customHeight="1">
      <c r="B284" s="243">
        <v>615.29999999999995</v>
      </c>
      <c r="C284" s="243">
        <v>618.41999999999996</v>
      </c>
      <c r="D284" s="243">
        <v>614.28800000000001</v>
      </c>
      <c r="E284" s="243">
        <v>615.95000000000005</v>
      </c>
      <c r="F284" s="243">
        <v>7187163</v>
      </c>
      <c r="G284" s="243" t="s">
        <v>2471</v>
      </c>
      <c r="H284" s="151">
        <f t="shared" si="5"/>
        <v>-1.0552804610765021E-3</v>
      </c>
      <c r="J284" s="243">
        <v>256.06</v>
      </c>
      <c r="K284" s="243">
        <v>260.88499999999999</v>
      </c>
      <c r="L284" s="243">
        <v>252.34</v>
      </c>
      <c r="M284" s="243">
        <v>254.84</v>
      </c>
      <c r="N284" s="243">
        <v>362538</v>
      </c>
      <c r="O284" s="243" t="s">
        <v>2471</v>
      </c>
      <c r="P284" s="151">
        <f t="shared" si="4"/>
        <v>4.7873175325694461E-3</v>
      </c>
      <c r="R284" s="151">
        <v>2.2500000000000034E-2</v>
      </c>
      <c r="S284" s="2">
        <v>28</v>
      </c>
      <c r="T284" s="147"/>
      <c r="U284" s="161">
        <f t="shared" si="7"/>
        <v>2.0000000000000035E-2</v>
      </c>
      <c r="V284" s="2">
        <f t="shared" si="6"/>
        <v>11.803581869865706</v>
      </c>
    </row>
    <row r="285" spans="2:44" ht="14.25" customHeight="1">
      <c r="B285" s="243">
        <v>615.25</v>
      </c>
      <c r="C285" s="243">
        <v>616.48</v>
      </c>
      <c r="D285" s="243">
        <v>613.02</v>
      </c>
      <c r="E285" s="243">
        <v>616.41</v>
      </c>
      <c r="F285" s="243">
        <v>7036646</v>
      </c>
      <c r="G285" s="243" t="s">
        <v>2472</v>
      </c>
      <c r="H285" s="151">
        <f t="shared" si="5"/>
        <v>-1.8818643435375426E-3</v>
      </c>
      <c r="J285" s="243">
        <v>253.49</v>
      </c>
      <c r="K285" s="243">
        <v>254.35</v>
      </c>
      <c r="L285" s="243">
        <v>247.83</v>
      </c>
      <c r="M285" s="243">
        <v>248.61</v>
      </c>
      <c r="N285" s="243">
        <v>312363</v>
      </c>
      <c r="O285" s="243" t="s">
        <v>2472</v>
      </c>
      <c r="P285" s="151">
        <f t="shared" si="4"/>
        <v>1.9629138007320579E-2</v>
      </c>
      <c r="R285" s="151">
        <v>2.5000000000000033E-2</v>
      </c>
      <c r="S285" s="2">
        <v>17</v>
      </c>
      <c r="T285" s="147"/>
      <c r="U285" s="161">
        <f t="shared" si="7"/>
        <v>2.2500000000000034E-2</v>
      </c>
      <c r="V285" s="2">
        <f t="shared" si="6"/>
        <v>10.743489859883031</v>
      </c>
    </row>
    <row r="286" spans="2:44" ht="14.25" customHeight="1">
      <c r="B286" s="243">
        <v>614.57000000000005</v>
      </c>
      <c r="C286" s="243">
        <v>615.39</v>
      </c>
      <c r="D286" s="243">
        <v>609.57000000000005</v>
      </c>
      <c r="E286" s="243">
        <v>609.70000000000005</v>
      </c>
      <c r="F286" s="243">
        <v>9753029</v>
      </c>
      <c r="G286" s="243" t="s">
        <v>2473</v>
      </c>
      <c r="H286" s="151">
        <f t="shared" si="5"/>
        <v>7.9875348532065793E-3</v>
      </c>
      <c r="J286" s="243">
        <v>249.63</v>
      </c>
      <c r="K286" s="243">
        <v>256.97500000000002</v>
      </c>
      <c r="L286" s="243">
        <v>242.41</v>
      </c>
      <c r="M286" s="243">
        <v>253.93</v>
      </c>
      <c r="N286" s="243">
        <v>436202</v>
      </c>
      <c r="O286" s="243" t="s">
        <v>2473</v>
      </c>
      <c r="P286" s="151">
        <f t="shared" si="4"/>
        <v>-1.6933800653723519E-2</v>
      </c>
      <c r="R286" s="151">
        <v>2.7500000000000031E-2</v>
      </c>
      <c r="S286" s="2">
        <v>15</v>
      </c>
      <c r="T286" s="147"/>
      <c r="U286" s="161">
        <f t="shared" si="7"/>
        <v>2.5000000000000033E-2</v>
      </c>
      <c r="V286" s="2">
        <f t="shared" si="6"/>
        <v>9.6707221489891122</v>
      </c>
    </row>
    <row r="287" spans="2:44" ht="14.25" customHeight="1">
      <c r="B287" s="243">
        <v>612.38</v>
      </c>
      <c r="C287" s="243">
        <v>612.86</v>
      </c>
      <c r="D287" s="243">
        <v>608.27</v>
      </c>
      <c r="E287" s="243">
        <v>609.42999999999995</v>
      </c>
      <c r="F287" s="243">
        <v>6481423</v>
      </c>
      <c r="G287" s="243" t="s">
        <v>2474</v>
      </c>
      <c r="H287" s="151">
        <f t="shared" si="5"/>
        <v>4.8405887468618847E-3</v>
      </c>
      <c r="J287" s="243">
        <v>253.32</v>
      </c>
      <c r="K287" s="243">
        <v>257.56</v>
      </c>
      <c r="L287" s="243">
        <v>251.45</v>
      </c>
      <c r="M287" s="243">
        <v>251.75</v>
      </c>
      <c r="N287" s="243">
        <v>202561</v>
      </c>
      <c r="O287" s="243" t="s">
        <v>2474</v>
      </c>
      <c r="P287" s="151">
        <f t="shared" si="4"/>
        <v>6.2363455809333335E-3</v>
      </c>
      <c r="R287" s="151">
        <v>3.000000000000003E-2</v>
      </c>
      <c r="S287" s="2">
        <v>17</v>
      </c>
      <c r="T287" s="147"/>
      <c r="U287" s="161">
        <f t="shared" si="7"/>
        <v>2.7500000000000031E-2</v>
      </c>
      <c r="V287" s="2">
        <f t="shared" si="6"/>
        <v>8.6090335227724477</v>
      </c>
    </row>
    <row r="288" spans="2:44" ht="14.25" customHeight="1">
      <c r="B288" s="243">
        <v>610.13</v>
      </c>
      <c r="C288" s="243">
        <v>611.67999999999995</v>
      </c>
      <c r="D288" s="243">
        <v>608.48</v>
      </c>
      <c r="E288" s="243">
        <v>610.79</v>
      </c>
      <c r="F288" s="243">
        <v>5658835</v>
      </c>
      <c r="G288" s="243" t="s">
        <v>2475</v>
      </c>
      <c r="H288" s="151">
        <f t="shared" si="5"/>
        <v>-1.0805677892564702E-3</v>
      </c>
      <c r="J288" s="243">
        <v>251.65</v>
      </c>
      <c r="K288" s="243">
        <v>254.52500000000001</v>
      </c>
      <c r="L288" s="243">
        <v>250.23</v>
      </c>
      <c r="M288" s="243">
        <v>253.33</v>
      </c>
      <c r="N288" s="243">
        <v>321762</v>
      </c>
      <c r="O288" s="243" t="s">
        <v>2475</v>
      </c>
      <c r="P288" s="151">
        <f t="shared" si="4"/>
        <v>-6.6316662061343123E-3</v>
      </c>
      <c r="R288" s="151">
        <v>3.2500000000000029E-2</v>
      </c>
      <c r="S288" s="2">
        <v>12</v>
      </c>
      <c r="T288" s="147"/>
      <c r="U288" s="161">
        <f t="shared" si="7"/>
        <v>3.000000000000003E-2</v>
      </c>
      <c r="V288" s="2">
        <f t="shared" si="6"/>
        <v>7.5793481770888791</v>
      </c>
    </row>
    <row r="289" spans="2:40" ht="14.25" customHeight="1">
      <c r="B289" s="243">
        <v>610.16</v>
      </c>
      <c r="C289" s="243">
        <v>610.70000000000005</v>
      </c>
      <c r="D289" s="243">
        <v>606.56500000000005</v>
      </c>
      <c r="E289" s="243">
        <v>608.03</v>
      </c>
      <c r="F289" s="243">
        <v>6438634</v>
      </c>
      <c r="G289" s="243" t="s">
        <v>2476</v>
      </c>
      <c r="H289" s="151">
        <f t="shared" si="5"/>
        <v>3.5031166225349963E-3</v>
      </c>
      <c r="J289" s="243">
        <v>253.37</v>
      </c>
      <c r="K289" s="243">
        <v>255.02</v>
      </c>
      <c r="L289" s="243">
        <v>250.3</v>
      </c>
      <c r="M289" s="243">
        <v>250.3</v>
      </c>
      <c r="N289" s="243">
        <v>193054</v>
      </c>
      <c r="O289" s="243" t="s">
        <v>2476</v>
      </c>
      <c r="P289" s="151">
        <f t="shared" si="4"/>
        <v>1.2265281662005467E-2</v>
      </c>
      <c r="R289" s="151">
        <v>3.5000000000000031E-2</v>
      </c>
      <c r="S289" s="2">
        <v>12</v>
      </c>
      <c r="T289" s="147"/>
      <c r="U289" s="161">
        <f t="shared" si="7"/>
        <v>3.2500000000000029E-2</v>
      </c>
      <c r="V289" s="2">
        <f t="shared" si="6"/>
        <v>6.5991998820294304</v>
      </c>
    </row>
    <row r="290" spans="2:40" ht="14.25" customHeight="1">
      <c r="B290" s="243">
        <v>606.59</v>
      </c>
      <c r="C290" s="243">
        <v>607.92999999999995</v>
      </c>
      <c r="D290" s="243">
        <v>603.35</v>
      </c>
      <c r="E290" s="243">
        <v>606.62</v>
      </c>
      <c r="F290" s="243">
        <v>6927746</v>
      </c>
      <c r="G290" s="243" t="s">
        <v>2477</v>
      </c>
      <c r="H290" s="151">
        <f t="shared" si="5"/>
        <v>-4.9454353631572801E-5</v>
      </c>
      <c r="J290" s="243">
        <v>249.2</v>
      </c>
      <c r="K290" s="243">
        <v>252.9999</v>
      </c>
      <c r="L290" s="243">
        <v>245.785</v>
      </c>
      <c r="M290" s="243">
        <v>251.56</v>
      </c>
      <c r="N290" s="243">
        <v>264008</v>
      </c>
      <c r="O290" s="243" t="s">
        <v>2477</v>
      </c>
      <c r="P290" s="151">
        <f t="shared" si="4"/>
        <v>-9.3814596915249293E-3</v>
      </c>
      <c r="R290" s="151">
        <v>3.7500000000000033E-2</v>
      </c>
      <c r="S290" s="2">
        <v>11</v>
      </c>
      <c r="T290" s="147"/>
      <c r="U290" s="161">
        <f t="shared" si="7"/>
        <v>3.5000000000000031E-2</v>
      </c>
      <c r="V290" s="2">
        <f t="shared" si="6"/>
        <v>5.6824114073584839</v>
      </c>
    </row>
    <row r="291" spans="2:40" ht="14.25" customHeight="1">
      <c r="B291" s="243">
        <v>609.5</v>
      </c>
      <c r="C291" s="243">
        <v>612.74</v>
      </c>
      <c r="D291" s="243">
        <v>608.19000000000005</v>
      </c>
      <c r="E291" s="243">
        <v>612.63</v>
      </c>
      <c r="F291" s="243">
        <v>23764079</v>
      </c>
      <c r="G291" s="243" t="s">
        <v>2478</v>
      </c>
      <c r="H291" s="151">
        <f t="shared" si="5"/>
        <v>-5.1091196970438624E-3</v>
      </c>
      <c r="J291" s="243">
        <v>253.65</v>
      </c>
      <c r="K291" s="243">
        <v>256.33</v>
      </c>
      <c r="L291" s="243">
        <v>250.41</v>
      </c>
      <c r="M291" s="243">
        <v>254.57</v>
      </c>
      <c r="N291" s="243">
        <v>518356</v>
      </c>
      <c r="O291" s="243" t="s">
        <v>2478</v>
      </c>
      <c r="P291" s="151">
        <f t="shared" si="4"/>
        <v>-3.6139372274816006E-3</v>
      </c>
      <c r="R291" s="151">
        <v>4.0000000000000036E-2</v>
      </c>
      <c r="S291" s="2">
        <v>6</v>
      </c>
      <c r="T291" s="147"/>
      <c r="U291" s="161">
        <f t="shared" si="7"/>
        <v>3.7500000000000033E-2</v>
      </c>
      <c r="V291" s="2">
        <f t="shared" si="6"/>
        <v>4.8390045446956282</v>
      </c>
    </row>
    <row r="292" spans="2:40" ht="14.25" customHeight="1">
      <c r="B292" s="243">
        <v>611.54</v>
      </c>
      <c r="C292" s="243">
        <v>615.26</v>
      </c>
      <c r="D292" s="243">
        <v>610.34100000000001</v>
      </c>
      <c r="E292" s="243">
        <v>614.70500000000004</v>
      </c>
      <c r="F292" s="243">
        <v>10728553</v>
      </c>
      <c r="G292" s="243" t="s">
        <v>2479</v>
      </c>
      <c r="H292" s="151">
        <f t="shared" si="5"/>
        <v>-5.148811218389393E-3</v>
      </c>
      <c r="J292" s="243">
        <v>254.14</v>
      </c>
      <c r="K292" s="243">
        <v>258.18</v>
      </c>
      <c r="L292" s="243">
        <v>252.56</v>
      </c>
      <c r="M292" s="243">
        <v>252.56</v>
      </c>
      <c r="N292" s="243">
        <v>376597</v>
      </c>
      <c r="O292" s="243" t="s">
        <v>2479</v>
      </c>
      <c r="P292" s="151">
        <f t="shared" si="4"/>
        <v>6.2559391827683442E-3</v>
      </c>
      <c r="R292" s="151">
        <v>4.2500000000000038E-2</v>
      </c>
      <c r="S292" s="2">
        <v>8</v>
      </c>
      <c r="T292" s="147"/>
      <c r="U292" s="161">
        <f t="shared" si="7"/>
        <v>4.0000000000000036E-2</v>
      </c>
      <c r="V292" s="2">
        <f t="shared" si="6"/>
        <v>4.0753165884628944</v>
      </c>
    </row>
    <row r="293" spans="2:40" ht="14.25" customHeight="1">
      <c r="B293" s="243">
        <v>614.76</v>
      </c>
      <c r="C293" s="243">
        <v>615.22</v>
      </c>
      <c r="D293" s="243">
        <v>610.51</v>
      </c>
      <c r="E293" s="243">
        <v>610.52</v>
      </c>
      <c r="F293" s="243">
        <v>11551587</v>
      </c>
      <c r="G293" s="243" t="s">
        <v>2480</v>
      </c>
      <c r="H293" s="151">
        <f t="shared" si="5"/>
        <v>6.9448994299941003E-3</v>
      </c>
      <c r="J293" s="243">
        <v>253.66</v>
      </c>
      <c r="K293" s="243">
        <v>257.31</v>
      </c>
      <c r="L293" s="243">
        <v>250.70500000000001</v>
      </c>
      <c r="M293" s="243">
        <v>255.15</v>
      </c>
      <c r="N293" s="243">
        <v>549375</v>
      </c>
      <c r="O293" s="243" t="s">
        <v>2480</v>
      </c>
      <c r="P293" s="151">
        <f t="shared" si="4"/>
        <v>-5.8397021359984924E-3</v>
      </c>
      <c r="R293" s="151">
        <v>4.500000000000004E-2</v>
      </c>
      <c r="S293" s="2">
        <v>4</v>
      </c>
      <c r="T293" s="147"/>
      <c r="U293" s="161">
        <f t="shared" si="7"/>
        <v>4.2500000000000038E-2</v>
      </c>
      <c r="V293" s="2">
        <f t="shared" si="6"/>
        <v>3.3942876220841054</v>
      </c>
    </row>
    <row r="294" spans="2:40" ht="14.25" customHeight="1">
      <c r="B294" s="243">
        <v>611.78</v>
      </c>
      <c r="C294" s="243">
        <v>612.66999999999996</v>
      </c>
      <c r="D294" s="243">
        <v>608.85</v>
      </c>
      <c r="E294" s="243">
        <v>610.62</v>
      </c>
      <c r="F294" s="243">
        <v>6065655</v>
      </c>
      <c r="G294" s="243" t="s">
        <v>2481</v>
      </c>
      <c r="H294" s="151">
        <f t="shared" si="5"/>
        <v>1.899708493007024E-3</v>
      </c>
      <c r="J294" s="243">
        <v>255.6</v>
      </c>
      <c r="K294" s="243">
        <v>259.83</v>
      </c>
      <c r="L294" s="243">
        <v>254.93</v>
      </c>
      <c r="M294" s="243">
        <v>257.17</v>
      </c>
      <c r="N294" s="243">
        <v>947234</v>
      </c>
      <c r="O294" s="243" t="s">
        <v>2481</v>
      </c>
      <c r="P294" s="151">
        <f t="shared" si="4"/>
        <v>-6.1049111482677221E-3</v>
      </c>
      <c r="R294" s="151">
        <v>4.7500000000000042E-2</v>
      </c>
      <c r="S294" s="2">
        <v>4</v>
      </c>
      <c r="T294" s="147"/>
      <c r="U294" s="161">
        <f t="shared" si="7"/>
        <v>4.500000000000004E-2</v>
      </c>
      <c r="V294" s="2">
        <f t="shared" si="6"/>
        <v>2.795875924202587</v>
      </c>
    </row>
    <row r="295" spans="2:40" ht="14.25" customHeight="1">
      <c r="B295" s="243">
        <v>608.94000000000005</v>
      </c>
      <c r="C295" s="243">
        <v>611.30999999999995</v>
      </c>
      <c r="D295" s="243">
        <v>607.07000000000005</v>
      </c>
      <c r="E295" s="243">
        <v>608.54999999999995</v>
      </c>
      <c r="F295" s="243">
        <v>11029230</v>
      </c>
      <c r="G295" s="243" t="s">
        <v>2482</v>
      </c>
      <c r="H295" s="151">
        <f t="shared" si="5"/>
        <v>6.4086763618442788E-4</v>
      </c>
      <c r="J295" s="243">
        <v>257.75</v>
      </c>
      <c r="K295" s="243">
        <v>259.52999999999997</v>
      </c>
      <c r="L295" s="243">
        <v>250.75</v>
      </c>
      <c r="M295" s="243">
        <v>257.66000000000003</v>
      </c>
      <c r="N295" s="243">
        <v>417108</v>
      </c>
      <c r="O295" s="243" t="s">
        <v>2482</v>
      </c>
      <c r="P295" s="151">
        <f t="shared" si="4"/>
        <v>3.4929752386858581E-4</v>
      </c>
      <c r="R295" s="151">
        <v>5.0000000000000044E-2</v>
      </c>
      <c r="S295" s="2">
        <v>4</v>
      </c>
      <c r="T295" s="147"/>
      <c r="U295" s="161">
        <f t="shared" si="7"/>
        <v>4.7500000000000042E-2</v>
      </c>
      <c r="V295" s="2">
        <f t="shared" si="6"/>
        <v>2.2775562619227712</v>
      </c>
      <c r="AN295" s="1" t="s">
        <v>654</v>
      </c>
    </row>
    <row r="296" spans="2:40" ht="14.25" customHeight="1">
      <c r="B296" s="243">
        <v>606.09</v>
      </c>
      <c r="C296" s="243">
        <v>608.33000000000004</v>
      </c>
      <c r="D296" s="243">
        <v>601.54999999999995</v>
      </c>
      <c r="E296" s="243">
        <v>606.84</v>
      </c>
      <c r="F296" s="243">
        <v>11613628</v>
      </c>
      <c r="G296" s="243" t="s">
        <v>2483</v>
      </c>
      <c r="H296" s="151">
        <f t="shared" si="5"/>
        <v>-1.2359106189440139E-3</v>
      </c>
      <c r="J296" s="243">
        <v>256.29000000000002</v>
      </c>
      <c r="K296" s="243">
        <v>264.39999999999998</v>
      </c>
      <c r="L296" s="243">
        <v>253.01</v>
      </c>
      <c r="M296" s="243">
        <v>262.82</v>
      </c>
      <c r="N296" s="243">
        <v>403685</v>
      </c>
      <c r="O296" s="243" t="s">
        <v>2483</v>
      </c>
      <c r="P296" s="151">
        <f t="shared" si="4"/>
        <v>-2.4845902138345588E-2</v>
      </c>
      <c r="R296" s="151">
        <v>5.2500000000000047E-2</v>
      </c>
      <c r="S296" s="2">
        <v>4</v>
      </c>
      <c r="T296" s="147"/>
      <c r="U296" s="161">
        <f t="shared" si="7"/>
        <v>5.0000000000000044E-2</v>
      </c>
      <c r="V296" s="2">
        <f t="shared" si="6"/>
        <v>1.8348573233217513</v>
      </c>
    </row>
    <row r="297" spans="2:40" ht="14.25" customHeight="1">
      <c r="B297" s="243">
        <v>606.79</v>
      </c>
      <c r="C297" s="243">
        <v>608.41999999999996</v>
      </c>
      <c r="D297" s="243">
        <v>606.06089999999995</v>
      </c>
      <c r="E297" s="243">
        <v>608.16</v>
      </c>
      <c r="F297" s="243">
        <v>6367152</v>
      </c>
      <c r="G297" s="243" t="s">
        <v>2484</v>
      </c>
      <c r="H297" s="151">
        <f t="shared" si="5"/>
        <v>-2.2526966587740338E-3</v>
      </c>
      <c r="J297" s="243">
        <v>262.95999999999998</v>
      </c>
      <c r="K297" s="243">
        <v>263.82</v>
      </c>
      <c r="L297" s="243">
        <v>259.87</v>
      </c>
      <c r="M297" s="243">
        <v>263.45</v>
      </c>
      <c r="N297" s="243">
        <v>320994</v>
      </c>
      <c r="O297" s="243" t="s">
        <v>2484</v>
      </c>
      <c r="P297" s="151">
        <f t="shared" si="4"/>
        <v>-1.8599354716265504E-3</v>
      </c>
      <c r="R297" s="151">
        <v>5.5000000000000049E-2</v>
      </c>
      <c r="S297" s="2">
        <v>6</v>
      </c>
      <c r="T297" s="147"/>
      <c r="U297" s="161">
        <f t="shared" si="7"/>
        <v>5.2500000000000047E-2</v>
      </c>
      <c r="V297" s="2">
        <f t="shared" si="6"/>
        <v>1.461899275776497</v>
      </c>
    </row>
    <row r="298" spans="2:40" ht="14.25" customHeight="1">
      <c r="B298" s="243">
        <v>607.59</v>
      </c>
      <c r="C298" s="243">
        <v>607.77</v>
      </c>
      <c r="D298" s="243">
        <v>606.20000000000005</v>
      </c>
      <c r="E298" s="243">
        <v>606.47</v>
      </c>
      <c r="F298" s="243">
        <v>7447134</v>
      </c>
      <c r="G298" s="243" t="s">
        <v>2485</v>
      </c>
      <c r="H298" s="151">
        <f t="shared" si="5"/>
        <v>1.8467525186736111E-3</v>
      </c>
      <c r="J298" s="243">
        <v>263.12</v>
      </c>
      <c r="K298" s="243">
        <v>275.69</v>
      </c>
      <c r="L298" s="243">
        <v>263.06</v>
      </c>
      <c r="M298" s="243">
        <v>273.06</v>
      </c>
      <c r="N298" s="243">
        <v>350102</v>
      </c>
      <c r="O298" s="243" t="s">
        <v>2485</v>
      </c>
      <c r="P298" s="151">
        <f t="shared" si="4"/>
        <v>-3.6402255914451009E-2</v>
      </c>
      <c r="R298" s="151">
        <v>5.7500000000000051E-2</v>
      </c>
      <c r="S298" s="2">
        <v>2</v>
      </c>
      <c r="T298" s="147"/>
      <c r="U298" s="161">
        <f t="shared" si="7"/>
        <v>5.5000000000000049E-2</v>
      </c>
      <c r="V298" s="2">
        <f t="shared" si="6"/>
        <v>1.151899442594212</v>
      </c>
    </row>
    <row r="299" spans="2:40" ht="14.25" customHeight="1">
      <c r="B299" s="243">
        <v>604.44000000000005</v>
      </c>
      <c r="C299" s="243">
        <v>605.98</v>
      </c>
      <c r="D299" s="243">
        <v>603.95000000000005</v>
      </c>
      <c r="E299" s="243">
        <v>604.59</v>
      </c>
      <c r="F299" s="243">
        <v>8108692</v>
      </c>
      <c r="G299" s="243" t="s">
        <v>2486</v>
      </c>
      <c r="H299" s="151">
        <f t="shared" si="5"/>
        <v>-2.4810201955038913E-4</v>
      </c>
      <c r="J299" s="243">
        <v>272.73</v>
      </c>
      <c r="K299" s="243">
        <v>280.14</v>
      </c>
      <c r="L299" s="243">
        <v>271.76</v>
      </c>
      <c r="M299" s="243">
        <v>274.77999999999997</v>
      </c>
      <c r="N299" s="243">
        <v>440521</v>
      </c>
      <c r="O299" s="243" t="s">
        <v>2486</v>
      </c>
      <c r="P299" s="151">
        <f t="shared" si="4"/>
        <v>-7.4605138656378411E-3</v>
      </c>
      <c r="R299" s="151">
        <v>6.0000000000000053E-2</v>
      </c>
      <c r="S299" s="2">
        <v>1</v>
      </c>
      <c r="T299" s="147"/>
      <c r="U299" s="161">
        <f t="shared" si="7"/>
        <v>5.7500000000000051E-2</v>
      </c>
      <c r="V299" s="2">
        <f t="shared" si="6"/>
        <v>0.89762233658414703</v>
      </c>
    </row>
    <row r="300" spans="2:40" ht="14.25" customHeight="1">
      <c r="B300" s="243">
        <v>604.57000000000005</v>
      </c>
      <c r="C300" s="243">
        <v>605.23</v>
      </c>
      <c r="D300" s="243">
        <v>600.89</v>
      </c>
      <c r="E300" s="243">
        <v>601.42999999999995</v>
      </c>
      <c r="F300" s="243">
        <v>9086806</v>
      </c>
      <c r="G300" s="243" t="s">
        <v>2487</v>
      </c>
      <c r="H300" s="151">
        <f t="shared" si="5"/>
        <v>5.2208902116623879E-3</v>
      </c>
      <c r="J300" s="243">
        <v>276.39999999999998</v>
      </c>
      <c r="K300" s="243">
        <v>278.52999999999997</v>
      </c>
      <c r="L300" s="243">
        <v>273.22500000000002</v>
      </c>
      <c r="M300" s="243">
        <v>273.37</v>
      </c>
      <c r="N300" s="243">
        <v>425202</v>
      </c>
      <c r="O300" s="243" t="s">
        <v>2487</v>
      </c>
      <c r="P300" s="151">
        <f t="shared" si="4"/>
        <v>1.1083878991842377E-2</v>
      </c>
      <c r="R300" s="151">
        <v>6.2500000000000056E-2</v>
      </c>
      <c r="S300" s="2">
        <v>1</v>
      </c>
      <c r="T300" s="147"/>
      <c r="U300" s="161">
        <f t="shared" si="7"/>
        <v>6.0000000000000053E-2</v>
      </c>
      <c r="V300" s="2">
        <f t="shared" si="6"/>
        <v>0.69175881163222153</v>
      </c>
    </row>
    <row r="301" spans="2:40" ht="14.25" customHeight="1">
      <c r="B301" s="243">
        <v>599.67999999999995</v>
      </c>
      <c r="C301" s="243">
        <v>601.75</v>
      </c>
      <c r="D301" s="243">
        <v>598.16</v>
      </c>
      <c r="E301" s="243">
        <v>600.91999999999996</v>
      </c>
      <c r="F301" s="243">
        <v>21542357</v>
      </c>
      <c r="G301" s="243" t="s">
        <v>2488</v>
      </c>
      <c r="H301" s="151">
        <f t="shared" si="5"/>
        <v>-2.0635026293017722E-3</v>
      </c>
      <c r="J301" s="243">
        <v>271.98</v>
      </c>
      <c r="K301" s="243">
        <v>286.3</v>
      </c>
      <c r="L301" s="243">
        <v>270.54000000000002</v>
      </c>
      <c r="M301" s="243">
        <v>285.51</v>
      </c>
      <c r="N301" s="243">
        <v>472288</v>
      </c>
      <c r="O301" s="243" t="s">
        <v>2488</v>
      </c>
      <c r="P301" s="151">
        <f t="shared" si="4"/>
        <v>-4.7388883051381669E-2</v>
      </c>
      <c r="R301" s="151">
        <v>6.5000000000000058E-2</v>
      </c>
      <c r="S301" s="2">
        <v>1</v>
      </c>
      <c r="T301" s="147"/>
      <c r="U301" s="161">
        <f t="shared" si="7"/>
        <v>6.2500000000000056E-2</v>
      </c>
      <c r="V301" s="2">
        <f t="shared" si="6"/>
        <v>0.52722708685524844</v>
      </c>
    </row>
    <row r="302" spans="2:40" ht="14.25" customHeight="1">
      <c r="B302" s="243">
        <v>597.95000000000005</v>
      </c>
      <c r="C302" s="243">
        <v>598.37</v>
      </c>
      <c r="D302" s="243">
        <v>595.01</v>
      </c>
      <c r="E302" s="243">
        <v>596.61</v>
      </c>
      <c r="F302" s="243">
        <v>7780114</v>
      </c>
      <c r="G302" s="243" t="s">
        <v>2489</v>
      </c>
      <c r="H302" s="151">
        <f t="shared" si="5"/>
        <v>2.2460233653476269E-3</v>
      </c>
      <c r="J302" s="243">
        <v>287.08999999999997</v>
      </c>
      <c r="K302" s="243">
        <v>288.91000000000003</v>
      </c>
      <c r="L302" s="243">
        <v>283.64</v>
      </c>
      <c r="M302" s="243">
        <v>285.61</v>
      </c>
      <c r="N302" s="243">
        <v>438086</v>
      </c>
      <c r="O302" s="243" t="s">
        <v>2489</v>
      </c>
      <c r="P302" s="151">
        <f t="shared" si="4"/>
        <v>5.1818913903574071E-3</v>
      </c>
      <c r="R302" s="151">
        <v>6.750000000000006E-2</v>
      </c>
      <c r="S302" s="2">
        <v>2</v>
      </c>
      <c r="T302" s="147"/>
      <c r="U302" s="161">
        <f t="shared" si="7"/>
        <v>6.5000000000000058E-2</v>
      </c>
      <c r="V302" s="2">
        <f t="shared" si="6"/>
        <v>0.3973952711977069</v>
      </c>
    </row>
    <row r="303" spans="2:40" ht="14.25" customHeight="1">
      <c r="B303" s="243">
        <v>596.5</v>
      </c>
      <c r="C303" s="243">
        <v>597.41</v>
      </c>
      <c r="D303" s="243">
        <v>595.03</v>
      </c>
      <c r="E303" s="243">
        <v>596.30999999999995</v>
      </c>
      <c r="F303" s="243">
        <v>9448293</v>
      </c>
      <c r="G303" s="243" t="s">
        <v>2490</v>
      </c>
      <c r="H303" s="151">
        <f t="shared" si="5"/>
        <v>3.1862621790690326E-4</v>
      </c>
      <c r="J303" s="243">
        <v>285.58999999999997</v>
      </c>
      <c r="K303" s="243">
        <v>287</v>
      </c>
      <c r="L303" s="243">
        <v>280.77999999999997</v>
      </c>
      <c r="M303" s="243">
        <v>281.79000000000002</v>
      </c>
      <c r="N303" s="243">
        <v>746043</v>
      </c>
      <c r="O303" s="243" t="s">
        <v>2490</v>
      </c>
      <c r="P303" s="151">
        <f t="shared" si="4"/>
        <v>1.3485219489690836E-2</v>
      </c>
      <c r="R303" s="151">
        <v>7.0000000000000062E-2</v>
      </c>
      <c r="S303" s="2">
        <v>0</v>
      </c>
      <c r="T303" s="147"/>
      <c r="U303" s="161">
        <f t="shared" si="7"/>
        <v>6.750000000000006E-2</v>
      </c>
      <c r="V303" s="2">
        <f t="shared" si="6"/>
        <v>0.29623041101738201</v>
      </c>
    </row>
    <row r="304" spans="2:40" ht="14.25" customHeight="1">
      <c r="B304" s="243">
        <v>594.96</v>
      </c>
      <c r="C304" s="243">
        <v>599.6</v>
      </c>
      <c r="D304" s="243">
        <v>591.45000000000005</v>
      </c>
      <c r="E304" s="243">
        <v>598.91</v>
      </c>
      <c r="F304" s="243">
        <v>6622130</v>
      </c>
      <c r="G304" s="243" t="s">
        <v>2491</v>
      </c>
      <c r="H304" s="151">
        <f t="shared" si="5"/>
        <v>-6.5953148219264346E-3</v>
      </c>
      <c r="J304" s="243">
        <v>281.45999999999998</v>
      </c>
      <c r="K304" s="243">
        <v>285.2</v>
      </c>
      <c r="L304" s="243">
        <v>278.41000000000003</v>
      </c>
      <c r="M304" s="243">
        <v>281.06</v>
      </c>
      <c r="N304" s="243">
        <v>563116</v>
      </c>
      <c r="O304" s="243" t="s">
        <v>2491</v>
      </c>
      <c r="P304" s="151">
        <f t="shared" si="4"/>
        <v>1.4231836618514571E-3</v>
      </c>
      <c r="R304" s="151">
        <v>7.2500000000000064E-2</v>
      </c>
      <c r="S304" s="2">
        <v>0</v>
      </c>
      <c r="T304" s="147"/>
      <c r="U304" s="161">
        <f t="shared" si="7"/>
        <v>7.0000000000000062E-2</v>
      </c>
      <c r="V304" s="2">
        <f t="shared" si="6"/>
        <v>0.21838286194328474</v>
      </c>
    </row>
    <row r="305" spans="2:74" ht="14.25" customHeight="1">
      <c r="B305" s="243">
        <v>596.59</v>
      </c>
      <c r="C305" s="243">
        <v>596.77</v>
      </c>
      <c r="D305" s="243">
        <v>591.6</v>
      </c>
      <c r="E305" s="243">
        <v>592.47</v>
      </c>
      <c r="F305" s="243">
        <v>8012477</v>
      </c>
      <c r="G305" s="243" t="s">
        <v>2492</v>
      </c>
      <c r="H305" s="151">
        <f t="shared" si="5"/>
        <v>6.9539385960470934E-3</v>
      </c>
      <c r="J305" s="243">
        <v>279.72000000000003</v>
      </c>
      <c r="K305" s="243">
        <v>280</v>
      </c>
      <c r="L305" s="243">
        <v>267.37</v>
      </c>
      <c r="M305" s="243">
        <v>267.37</v>
      </c>
      <c r="N305" s="243">
        <v>590615</v>
      </c>
      <c r="O305" s="243" t="s">
        <v>2492</v>
      </c>
      <c r="P305" s="151">
        <f t="shared" si="4"/>
        <v>4.6190672102330188E-2</v>
      </c>
      <c r="R305" s="151">
        <v>7.5000000000000067E-2</v>
      </c>
      <c r="S305" s="2">
        <v>1</v>
      </c>
      <c r="T305" s="147"/>
      <c r="U305" s="161">
        <f t="shared" si="7"/>
        <v>7.2500000000000064E-2</v>
      </c>
      <c r="V305" s="2">
        <f t="shared" si="6"/>
        <v>0.15921699796674926</v>
      </c>
    </row>
    <row r="306" spans="2:74" ht="14.25" customHeight="1" thickBot="1">
      <c r="B306" s="243">
        <v>591.72</v>
      </c>
      <c r="C306" s="243">
        <v>592.23</v>
      </c>
      <c r="D306" s="243">
        <v>588.78</v>
      </c>
      <c r="E306" s="243">
        <v>590.80999999999995</v>
      </c>
      <c r="F306" s="243">
        <v>6669875</v>
      </c>
      <c r="G306" s="243" t="s">
        <v>2493</v>
      </c>
      <c r="H306" s="151">
        <f t="shared" si="5"/>
        <v>1.5402582894672445E-3</v>
      </c>
      <c r="J306" s="243">
        <v>269.70999999999998</v>
      </c>
      <c r="K306" s="243">
        <v>271.33</v>
      </c>
      <c r="L306" s="243">
        <v>267.20999999999998</v>
      </c>
      <c r="M306" s="243">
        <v>268.43</v>
      </c>
      <c r="N306" s="243">
        <v>404388</v>
      </c>
      <c r="O306" s="243" t="s">
        <v>2493</v>
      </c>
      <c r="P306" s="151">
        <f t="shared" si="4"/>
        <v>4.7684685020301654E-3</v>
      </c>
      <c r="R306" s="165" t="s">
        <v>1428</v>
      </c>
      <c r="S306" s="165">
        <v>8</v>
      </c>
      <c r="T306" s="147"/>
      <c r="U306" s="161">
        <f t="shared" si="7"/>
        <v>7.5000000000000067E-2</v>
      </c>
      <c r="V306" s="2">
        <f t="shared" si="6"/>
        <v>0.1148001022061427</v>
      </c>
    </row>
    <row r="307" spans="2:74" ht="14.25" customHeight="1">
      <c r="B307" s="243">
        <v>588.71</v>
      </c>
      <c r="C307" s="243">
        <v>588.79999999999995</v>
      </c>
      <c r="D307" s="243">
        <v>583.66999999999996</v>
      </c>
      <c r="E307" s="243">
        <v>586.05999999999995</v>
      </c>
      <c r="F307" s="243">
        <v>11063662</v>
      </c>
      <c r="G307" s="243" t="s">
        <v>2494</v>
      </c>
      <c r="H307" s="151">
        <f t="shared" si="5"/>
        <v>4.5217213254618027E-3</v>
      </c>
      <c r="J307" s="243">
        <v>269.5</v>
      </c>
      <c r="K307" s="243">
        <v>274.58</v>
      </c>
      <c r="L307" s="243">
        <v>268.66000000000003</v>
      </c>
      <c r="M307" s="243">
        <v>272.19</v>
      </c>
      <c r="N307" s="243">
        <v>300223</v>
      </c>
      <c r="O307" s="243" t="s">
        <v>2494</v>
      </c>
      <c r="P307" s="151">
        <f t="shared" si="4"/>
        <v>-9.8828024541680604E-3</v>
      </c>
      <c r="U307" s="161">
        <v>7.7499999999999999E-2</v>
      </c>
      <c r="V307" s="2">
        <f t="shared" si="6"/>
        <v>8.1861007272505629E-2</v>
      </c>
    </row>
    <row r="308" spans="2:74" ht="14.25" customHeight="1">
      <c r="B308" s="243">
        <v>593.08000000000004</v>
      </c>
      <c r="C308" s="243">
        <v>595.54999999999995</v>
      </c>
      <c r="D308" s="243">
        <v>591.245</v>
      </c>
      <c r="E308" s="243">
        <v>595.24</v>
      </c>
      <c r="F308" s="243">
        <v>7480746</v>
      </c>
      <c r="G308" s="243" t="s">
        <v>2495</v>
      </c>
      <c r="H308" s="151">
        <f t="shared" si="5"/>
        <v>-3.6287883878770577E-3</v>
      </c>
      <c r="J308" s="243">
        <v>272.64</v>
      </c>
      <c r="K308" s="243">
        <v>273.43</v>
      </c>
      <c r="L308" s="243">
        <v>270.11</v>
      </c>
      <c r="M308" s="243">
        <v>272.24</v>
      </c>
      <c r="N308" s="243">
        <v>395484</v>
      </c>
      <c r="O308" s="243" t="s">
        <v>2495</v>
      </c>
      <c r="P308" s="151">
        <f t="shared" si="4"/>
        <v>1.4692918013516909E-3</v>
      </c>
      <c r="R308" s="166"/>
      <c r="S308" s="147"/>
      <c r="T308" s="147"/>
      <c r="U308" s="147"/>
      <c r="V308" s="147"/>
      <c r="W308" s="147"/>
      <c r="X308" s="151"/>
    </row>
    <row r="309" spans="2:74" ht="14.25" customHeight="1">
      <c r="B309" s="243">
        <v>596.52</v>
      </c>
      <c r="C309" s="243">
        <v>597.07000000000005</v>
      </c>
      <c r="D309" s="243">
        <v>593.27</v>
      </c>
      <c r="E309" s="243">
        <v>595.07000000000005</v>
      </c>
      <c r="F309" s="243">
        <v>5037983</v>
      </c>
      <c r="G309" s="243" t="s">
        <v>2496</v>
      </c>
      <c r="H309" s="151">
        <f t="shared" si="5"/>
        <v>2.4366881207251723E-3</v>
      </c>
      <c r="J309" s="243">
        <v>271.68</v>
      </c>
      <c r="K309" s="243">
        <v>272.06</v>
      </c>
      <c r="L309" s="243">
        <v>261.99</v>
      </c>
      <c r="M309" s="243">
        <v>266.85000000000002</v>
      </c>
      <c r="N309" s="243">
        <v>480509</v>
      </c>
      <c r="O309" s="243" t="s">
        <v>2496</v>
      </c>
      <c r="P309" s="151">
        <f t="shared" si="4"/>
        <v>1.8100056211354687E-2</v>
      </c>
      <c r="R309" s="166"/>
      <c r="S309" s="147"/>
      <c r="T309" s="147"/>
      <c r="U309" s="147"/>
      <c r="V309" s="147"/>
      <c r="W309" s="147"/>
      <c r="X309" s="151"/>
    </row>
    <row r="310" spans="2:74" ht="14.25" customHeight="1">
      <c r="B310" s="243">
        <v>594.41999999999996</v>
      </c>
      <c r="C310" s="243">
        <v>595.14</v>
      </c>
      <c r="D310" s="243">
        <v>592.44000000000005</v>
      </c>
      <c r="E310" s="243">
        <v>592.52</v>
      </c>
      <c r="F310" s="243">
        <v>6089564</v>
      </c>
      <c r="G310" s="243" t="s">
        <v>2497</v>
      </c>
      <c r="H310" s="151">
        <f t="shared" si="5"/>
        <v>3.20664281374472E-3</v>
      </c>
      <c r="J310" s="243">
        <v>266.93</v>
      </c>
      <c r="K310" s="243">
        <v>270.52999999999997</v>
      </c>
      <c r="L310" s="243">
        <v>263.76</v>
      </c>
      <c r="M310" s="243">
        <v>265.74</v>
      </c>
      <c r="N310" s="243">
        <v>606398</v>
      </c>
      <c r="O310" s="243" t="s">
        <v>2497</v>
      </c>
      <c r="P310" s="151">
        <f t="shared" si="4"/>
        <v>4.4780612628885219E-3</v>
      </c>
      <c r="R310" s="147"/>
      <c r="S310" s="147"/>
      <c r="T310" s="147"/>
      <c r="U310" s="147"/>
      <c r="V310" s="147"/>
      <c r="W310" s="147"/>
      <c r="X310" s="151"/>
    </row>
    <row r="311" spans="2:74" ht="14.25" customHeight="1">
      <c r="B311" s="243">
        <v>593.05999999999995</v>
      </c>
      <c r="C311" s="243">
        <v>593.42999999999995</v>
      </c>
      <c r="D311" s="243">
        <v>589.79499999999996</v>
      </c>
      <c r="E311" s="243">
        <v>590.38</v>
      </c>
      <c r="F311" s="243">
        <v>4746851</v>
      </c>
      <c r="G311" s="243" t="s">
        <v>2498</v>
      </c>
      <c r="H311" s="151">
        <f t="shared" si="5"/>
        <v>4.5394491683321547E-3</v>
      </c>
      <c r="J311" s="243">
        <v>266</v>
      </c>
      <c r="K311" s="243">
        <v>270</v>
      </c>
      <c r="L311" s="243">
        <v>263.22500000000002</v>
      </c>
      <c r="M311" s="243">
        <v>264.73</v>
      </c>
      <c r="N311" s="243">
        <v>606381</v>
      </c>
      <c r="O311" s="243" t="s">
        <v>2498</v>
      </c>
      <c r="P311" s="151">
        <f t="shared" si="4"/>
        <v>4.797340686737428E-3</v>
      </c>
      <c r="R311" s="147"/>
      <c r="S311" s="147"/>
      <c r="T311" s="147"/>
      <c r="U311" s="147"/>
      <c r="V311" s="147"/>
      <c r="W311" s="147"/>
      <c r="X311" s="151"/>
    </row>
    <row r="312" spans="2:74" ht="14.25" customHeight="1">
      <c r="B312" s="243">
        <v>590.70000000000005</v>
      </c>
      <c r="C312" s="243">
        <v>593.22990000000004</v>
      </c>
      <c r="D312" s="243">
        <v>590.54999999999995</v>
      </c>
      <c r="E312" s="243">
        <v>592.04999999999995</v>
      </c>
      <c r="F312" s="243">
        <v>6483035</v>
      </c>
      <c r="G312" s="243" t="s">
        <v>2499</v>
      </c>
      <c r="H312" s="151">
        <f t="shared" si="5"/>
        <v>-2.2802128198630145E-3</v>
      </c>
      <c r="J312" s="243">
        <v>264.17</v>
      </c>
      <c r="K312" s="243">
        <v>267.39</v>
      </c>
      <c r="L312" s="243">
        <v>261.64499999999998</v>
      </c>
      <c r="M312" s="243">
        <v>263.94</v>
      </c>
      <c r="N312" s="243">
        <v>599362</v>
      </c>
      <c r="O312" s="243" t="s">
        <v>2499</v>
      </c>
      <c r="P312" s="151">
        <f t="shared" si="4"/>
        <v>8.7141016897795964E-4</v>
      </c>
      <c r="R312" s="147"/>
      <c r="S312" s="147"/>
      <c r="T312" s="147"/>
      <c r="U312" s="147"/>
      <c r="V312" s="147"/>
      <c r="W312" s="147"/>
      <c r="X312" s="151"/>
    </row>
    <row r="313" spans="2:74" ht="14.25" customHeight="1">
      <c r="B313" s="243">
        <v>593.21</v>
      </c>
      <c r="C313" s="243">
        <v>594.32000000000005</v>
      </c>
      <c r="D313" s="243">
        <v>585.84</v>
      </c>
      <c r="E313" s="243">
        <v>586.27</v>
      </c>
      <c r="F313" s="243">
        <v>6368542</v>
      </c>
      <c r="G313" s="243" t="s">
        <v>2500</v>
      </c>
      <c r="H313" s="151">
        <f t="shared" si="5"/>
        <v>1.1837549252051272E-2</v>
      </c>
      <c r="J313" s="243">
        <v>264.74</v>
      </c>
      <c r="K313" s="243">
        <v>268.81</v>
      </c>
      <c r="L313" s="243">
        <v>252.73500000000001</v>
      </c>
      <c r="M313" s="243">
        <v>253.03</v>
      </c>
      <c r="N313" s="243">
        <v>593625</v>
      </c>
      <c r="O313" s="243" t="s">
        <v>2500</v>
      </c>
      <c r="P313" s="151">
        <f t="shared" si="4"/>
        <v>4.6279097340236275E-2</v>
      </c>
      <c r="R313" s="147"/>
      <c r="S313" s="147"/>
      <c r="T313" s="147"/>
      <c r="U313" s="147"/>
      <c r="V313" s="147"/>
      <c r="W313" s="147"/>
      <c r="X313" s="151"/>
    </row>
    <row r="314" spans="2:74" ht="14.25" customHeight="1">
      <c r="B314" s="243">
        <v>584.27</v>
      </c>
      <c r="C314" s="243">
        <v>586.46</v>
      </c>
      <c r="D314" s="243">
        <v>582.65</v>
      </c>
      <c r="E314" s="243">
        <v>584.92999999999995</v>
      </c>
      <c r="F314" s="243">
        <v>4807277</v>
      </c>
      <c r="G314" s="243" t="s">
        <v>2501</v>
      </c>
      <c r="H314" s="151">
        <f t="shared" si="5"/>
        <v>-1.1283401432649054E-3</v>
      </c>
      <c r="J314" s="243">
        <v>251.37</v>
      </c>
      <c r="K314" s="243">
        <v>258.12</v>
      </c>
      <c r="L314" s="243">
        <v>251.29</v>
      </c>
      <c r="M314" s="243">
        <v>256</v>
      </c>
      <c r="N314" s="243">
        <v>313243</v>
      </c>
      <c r="O314" s="243" t="s">
        <v>2501</v>
      </c>
      <c r="P314" s="151">
        <f t="shared" si="4"/>
        <v>-1.8085937499999982E-2</v>
      </c>
      <c r="R314" s="147"/>
      <c r="S314" s="147"/>
      <c r="T314" s="147"/>
      <c r="U314" s="147"/>
      <c r="V314" s="147"/>
      <c r="W314" s="147"/>
      <c r="X314" s="151"/>
    </row>
    <row r="315" spans="2:74" ht="14.25" customHeight="1">
      <c r="B315" s="243">
        <v>586.58000000000004</v>
      </c>
      <c r="C315" s="243">
        <v>588</v>
      </c>
      <c r="D315" s="243">
        <v>581.85</v>
      </c>
      <c r="E315" s="243">
        <v>587.80999999999995</v>
      </c>
      <c r="F315" s="243">
        <v>7054266</v>
      </c>
      <c r="G315" s="243" t="s">
        <v>2502</v>
      </c>
      <c r="H315" s="151">
        <f t="shared" si="5"/>
        <v>-2.0925128868169995E-3</v>
      </c>
      <c r="J315" s="243">
        <v>255.72</v>
      </c>
      <c r="K315" s="243">
        <v>256.83999999999997</v>
      </c>
      <c r="L315" s="243">
        <v>252.2</v>
      </c>
      <c r="M315" s="243">
        <v>253.07</v>
      </c>
      <c r="N315" s="243">
        <v>425574</v>
      </c>
      <c r="O315" s="243" t="s">
        <v>2502</v>
      </c>
      <c r="P315" s="151">
        <f t="shared" si="4"/>
        <v>1.0471411072035419E-2</v>
      </c>
      <c r="R315" s="147"/>
      <c r="S315" s="147"/>
      <c r="T315" s="147"/>
      <c r="U315" s="147"/>
      <c r="V315" s="147"/>
      <c r="W315" s="147"/>
      <c r="X315" s="151"/>
      <c r="BV315" s="2" t="s">
        <v>2073</v>
      </c>
    </row>
    <row r="316" spans="2:74" ht="14.25" customHeight="1">
      <c r="B316" s="243">
        <v>588.13</v>
      </c>
      <c r="C316" s="243">
        <v>592.12</v>
      </c>
      <c r="D316" s="243">
        <v>586.94000000000005</v>
      </c>
      <c r="E316" s="243">
        <v>591.25</v>
      </c>
      <c r="F316" s="243">
        <v>6689596</v>
      </c>
      <c r="G316" s="243" t="s">
        <v>2503</v>
      </c>
      <c r="H316" s="151">
        <f t="shared" si="5"/>
        <v>-5.2769556025370479E-3</v>
      </c>
      <c r="J316" s="243">
        <v>253.2</v>
      </c>
      <c r="K316" s="243">
        <v>256.47000000000003</v>
      </c>
      <c r="L316" s="243">
        <v>250.56</v>
      </c>
      <c r="M316" s="243">
        <v>253.97</v>
      </c>
      <c r="N316" s="243">
        <v>262693</v>
      </c>
      <c r="O316" s="243" t="s">
        <v>2503</v>
      </c>
      <c r="P316" s="151">
        <f t="shared" si="4"/>
        <v>-3.0318541560027112E-3</v>
      </c>
      <c r="R316" s="147"/>
      <c r="S316" s="147"/>
      <c r="T316" s="147"/>
      <c r="U316" s="147"/>
      <c r="V316" s="147"/>
      <c r="W316" s="147"/>
      <c r="X316" s="151"/>
    </row>
    <row r="317" spans="2:74" ht="14.25" customHeight="1">
      <c r="B317" s="243">
        <v>591.36</v>
      </c>
      <c r="C317" s="243">
        <v>592.02</v>
      </c>
      <c r="D317" s="243">
        <v>590.35</v>
      </c>
      <c r="E317" s="243">
        <v>590.98</v>
      </c>
      <c r="F317" s="243">
        <v>5311743</v>
      </c>
      <c r="G317" s="243" t="s">
        <v>2504</v>
      </c>
      <c r="H317" s="151">
        <f t="shared" si="5"/>
        <v>6.4299976310544515E-4</v>
      </c>
      <c r="J317" s="243">
        <v>255.35</v>
      </c>
      <c r="K317" s="243">
        <v>256.38</v>
      </c>
      <c r="L317" s="243">
        <v>250.9906</v>
      </c>
      <c r="M317" s="243">
        <v>251.94</v>
      </c>
      <c r="N317" s="243">
        <v>336982</v>
      </c>
      <c r="O317" s="243" t="s">
        <v>2504</v>
      </c>
      <c r="P317" s="151">
        <f t="shared" si="4"/>
        <v>1.3534968643327705E-2</v>
      </c>
    </row>
    <row r="318" spans="2:74" ht="14.25" customHeight="1">
      <c r="B318" s="243">
        <v>591.57000000000005</v>
      </c>
      <c r="C318" s="243">
        <v>593.95000000000005</v>
      </c>
      <c r="D318" s="243">
        <v>590.66</v>
      </c>
      <c r="E318" s="243">
        <v>593.86</v>
      </c>
      <c r="F318" s="243">
        <v>7196315</v>
      </c>
      <c r="G318" s="243" t="s">
        <v>2505</v>
      </c>
      <c r="H318" s="151">
        <f t="shared" si="5"/>
        <v>-3.8561277068668298E-3</v>
      </c>
      <c r="J318" s="243">
        <v>253.02</v>
      </c>
      <c r="K318" s="243">
        <v>254.63990000000001</v>
      </c>
      <c r="L318" s="243">
        <v>251.39</v>
      </c>
      <c r="M318" s="243">
        <v>253.22</v>
      </c>
      <c r="N318" s="243">
        <v>304724</v>
      </c>
      <c r="O318" s="243" t="s">
        <v>2505</v>
      </c>
      <c r="P318" s="151">
        <f t="shared" si="4"/>
        <v>-7.8982702788088499E-4</v>
      </c>
    </row>
    <row r="319" spans="2:74" ht="14.25" customHeight="1">
      <c r="B319" s="243">
        <v>592.85</v>
      </c>
      <c r="C319" s="243">
        <v>593.51</v>
      </c>
      <c r="D319" s="243">
        <v>590.5</v>
      </c>
      <c r="E319" s="243">
        <v>590.91999999999996</v>
      </c>
      <c r="F319" s="243">
        <v>6236666</v>
      </c>
      <c r="G319" s="243" t="s">
        <v>2506</v>
      </c>
      <c r="H319" s="151">
        <f t="shared" si="5"/>
        <v>3.2660935490422816E-3</v>
      </c>
      <c r="J319" s="243">
        <v>253.21</v>
      </c>
      <c r="K319" s="243">
        <v>257.27</v>
      </c>
      <c r="L319" s="243">
        <v>250.96</v>
      </c>
      <c r="M319" s="243">
        <v>253.72</v>
      </c>
      <c r="N319" s="243">
        <v>332627</v>
      </c>
      <c r="O319" s="243" t="s">
        <v>2506</v>
      </c>
      <c r="P319" s="151">
        <f t="shared" si="4"/>
        <v>-2.0100898628409025E-3</v>
      </c>
    </row>
    <row r="320" spans="2:74" ht="14.25" customHeight="1">
      <c r="B320" s="243">
        <v>592.84</v>
      </c>
      <c r="C320" s="243">
        <v>594.03</v>
      </c>
      <c r="D320" s="243">
        <v>590.80999999999995</v>
      </c>
      <c r="E320" s="243">
        <v>592.86</v>
      </c>
      <c r="F320" s="243">
        <v>5392973</v>
      </c>
      <c r="G320" s="243" t="s">
        <v>2507</v>
      </c>
      <c r="H320" s="151">
        <f t="shared" si="5"/>
        <v>-3.3734777181715359E-5</v>
      </c>
      <c r="J320" s="243">
        <v>257.38</v>
      </c>
      <c r="K320" s="243">
        <v>260.22000000000003</v>
      </c>
      <c r="L320" s="243">
        <v>247.345</v>
      </c>
      <c r="M320" s="243">
        <v>249.4</v>
      </c>
      <c r="N320" s="243">
        <v>582380</v>
      </c>
      <c r="O320" s="243" t="s">
        <v>2507</v>
      </c>
      <c r="P320" s="151">
        <f t="shared" si="4"/>
        <v>3.1996792301523636E-2</v>
      </c>
    </row>
    <row r="321" spans="2:45" ht="14.25" customHeight="1">
      <c r="B321" s="243">
        <v>590.78</v>
      </c>
      <c r="C321" s="243">
        <v>590.96</v>
      </c>
      <c r="D321" s="243">
        <v>585.43499999999995</v>
      </c>
      <c r="E321" s="243">
        <v>586.75</v>
      </c>
      <c r="F321" s="243">
        <v>5874245</v>
      </c>
      <c r="G321" s="243" t="s">
        <v>2508</v>
      </c>
      <c r="H321" s="151">
        <f t="shared" si="5"/>
        <v>6.8683425649764818E-3</v>
      </c>
      <c r="J321" s="243">
        <v>248.55</v>
      </c>
      <c r="K321" s="243">
        <v>249.61</v>
      </c>
      <c r="L321" s="243">
        <v>239.14</v>
      </c>
      <c r="M321" s="243">
        <v>240.16</v>
      </c>
      <c r="N321" s="243">
        <v>394309</v>
      </c>
      <c r="O321" s="243" t="s">
        <v>2508</v>
      </c>
      <c r="P321" s="151">
        <f t="shared" ref="P321:P384" si="8">J321/M321-1</f>
        <v>3.4935043304463731E-2</v>
      </c>
      <c r="AO321" s="1" t="s">
        <v>570</v>
      </c>
    </row>
    <row r="322" spans="2:45" ht="14.25" customHeight="1">
      <c r="B322" s="243">
        <v>584.54</v>
      </c>
      <c r="C322" s="243">
        <v>587.36</v>
      </c>
      <c r="D322" s="243">
        <v>583.44000000000005</v>
      </c>
      <c r="E322" s="243">
        <v>586.03</v>
      </c>
      <c r="F322" s="243">
        <v>5373949</v>
      </c>
      <c r="G322" s="243" t="s">
        <v>2509</v>
      </c>
      <c r="H322" s="151">
        <f t="shared" ref="H322:H385" si="9">B322/E322-1</f>
        <v>-2.542531952289151E-3</v>
      </c>
      <c r="J322" s="243">
        <v>239.5</v>
      </c>
      <c r="K322" s="243">
        <v>242.57</v>
      </c>
      <c r="L322" s="243">
        <v>236.66</v>
      </c>
      <c r="M322" s="243">
        <v>240.68</v>
      </c>
      <c r="N322" s="243">
        <v>300224</v>
      </c>
      <c r="O322" s="243" t="s">
        <v>2509</v>
      </c>
      <c r="P322" s="151">
        <f t="shared" si="8"/>
        <v>-4.9027754695031289E-3</v>
      </c>
      <c r="AP322" s="2" t="s">
        <v>587</v>
      </c>
    </row>
    <row r="323" spans="2:45" ht="14.25" customHeight="1">
      <c r="B323" s="243">
        <v>585.74</v>
      </c>
      <c r="C323" s="243">
        <v>586.16999999999996</v>
      </c>
      <c r="D323" s="243">
        <v>582.6</v>
      </c>
      <c r="E323" s="243">
        <v>582.92999999999995</v>
      </c>
      <c r="F323" s="243">
        <v>4342341</v>
      </c>
      <c r="G323" s="243" t="s">
        <v>2510</v>
      </c>
      <c r="H323" s="151">
        <f t="shared" si="9"/>
        <v>4.8204758718886076E-3</v>
      </c>
      <c r="J323" s="243">
        <v>240.49</v>
      </c>
      <c r="K323" s="243">
        <v>243.26759999999999</v>
      </c>
      <c r="L323" s="243">
        <v>238.27500000000001</v>
      </c>
      <c r="M323" s="243">
        <v>240.93</v>
      </c>
      <c r="N323" s="243">
        <v>280040</v>
      </c>
      <c r="O323" s="243" t="s">
        <v>2510</v>
      </c>
      <c r="P323" s="151">
        <f t="shared" si="8"/>
        <v>-1.8262565890507787E-3</v>
      </c>
      <c r="AP323" s="2" t="s">
        <v>571</v>
      </c>
    </row>
    <row r="324" spans="2:45" ht="14.25" customHeight="1">
      <c r="B324" s="243">
        <v>581.29</v>
      </c>
      <c r="C324" s="243">
        <v>585.52</v>
      </c>
      <c r="D324" s="243">
        <v>578.31269999999995</v>
      </c>
      <c r="E324" s="243">
        <v>584.87</v>
      </c>
      <c r="F324" s="243">
        <v>4594260</v>
      </c>
      <c r="G324" s="243" t="s">
        <v>2511</v>
      </c>
      <c r="H324" s="151">
        <f t="shared" si="9"/>
        <v>-6.1210183459572409E-3</v>
      </c>
      <c r="J324" s="243">
        <v>240.74</v>
      </c>
      <c r="K324" s="243">
        <v>242.13</v>
      </c>
      <c r="L324" s="243">
        <v>237.26669999999999</v>
      </c>
      <c r="M324" s="243">
        <v>241.36</v>
      </c>
      <c r="N324" s="243">
        <v>203030</v>
      </c>
      <c r="O324" s="243" t="s">
        <v>2511</v>
      </c>
      <c r="P324" s="151">
        <f t="shared" si="8"/>
        <v>-2.5687769307258801E-3</v>
      </c>
      <c r="AQ324" s="2" t="s">
        <v>574</v>
      </c>
    </row>
    <row r="325" spans="2:45" ht="14.25" customHeight="1">
      <c r="B325" s="243">
        <v>581.64</v>
      </c>
      <c r="C325" s="243">
        <v>582.27</v>
      </c>
      <c r="D325" s="243">
        <v>577.41</v>
      </c>
      <c r="E325" s="243">
        <v>578.25</v>
      </c>
      <c r="F325" s="243">
        <v>4545015</v>
      </c>
      <c r="G325" s="243" t="s">
        <v>2512</v>
      </c>
      <c r="H325" s="151">
        <f t="shared" si="9"/>
        <v>5.8625162127108332E-3</v>
      </c>
      <c r="J325" s="243">
        <v>239.99</v>
      </c>
      <c r="K325" s="243">
        <v>242.33</v>
      </c>
      <c r="L325" s="243">
        <v>234.34</v>
      </c>
      <c r="M325" s="243">
        <v>239.51</v>
      </c>
      <c r="N325" s="243">
        <v>340012</v>
      </c>
      <c r="O325" s="243" t="s">
        <v>2512</v>
      </c>
      <c r="P325" s="151">
        <f t="shared" si="8"/>
        <v>2.0040916871948422E-3</v>
      </c>
      <c r="AR325" s="2" t="s">
        <v>1501</v>
      </c>
    </row>
    <row r="326" spans="2:45" ht="14.25" customHeight="1">
      <c r="B326" s="243">
        <v>577.35</v>
      </c>
      <c r="C326" s="243">
        <v>581.5</v>
      </c>
      <c r="D326" s="243">
        <v>576.4</v>
      </c>
      <c r="E326" s="243">
        <v>580.79</v>
      </c>
      <c r="F326" s="243">
        <v>4647381</v>
      </c>
      <c r="G326" s="243" t="s">
        <v>2513</v>
      </c>
      <c r="H326" s="151">
        <f t="shared" si="9"/>
        <v>-5.9229669932332474E-3</v>
      </c>
      <c r="J326" s="243">
        <v>240.1</v>
      </c>
      <c r="K326" s="243">
        <v>241.08500000000001</v>
      </c>
      <c r="L326" s="243">
        <v>236.26</v>
      </c>
      <c r="M326" s="243">
        <v>240.11</v>
      </c>
      <c r="N326" s="243">
        <v>551772</v>
      </c>
      <c r="O326" s="243" t="s">
        <v>2513</v>
      </c>
      <c r="P326" s="151">
        <f t="shared" si="8"/>
        <v>-4.1647578193360069E-5</v>
      </c>
      <c r="AR326" s="1" t="s">
        <v>1915</v>
      </c>
    </row>
    <row r="327" spans="2:45" ht="14.25" customHeight="1">
      <c r="B327" s="243">
        <v>580.14</v>
      </c>
      <c r="C327" s="243">
        <v>580.21</v>
      </c>
      <c r="D327" s="243">
        <v>575.08000000000004</v>
      </c>
      <c r="E327" s="243">
        <v>575.16999999999996</v>
      </c>
      <c r="F327" s="243">
        <v>6640089</v>
      </c>
      <c r="G327" s="243" t="s">
        <v>2514</v>
      </c>
      <c r="H327" s="151">
        <f t="shared" si="9"/>
        <v>8.6409235530364725E-3</v>
      </c>
      <c r="J327" s="243">
        <v>240.39</v>
      </c>
      <c r="K327" s="243">
        <v>246.39</v>
      </c>
      <c r="L327" s="243">
        <v>239.17</v>
      </c>
      <c r="M327" s="243">
        <v>245.13</v>
      </c>
      <c r="N327" s="243">
        <v>427592</v>
      </c>
      <c r="O327" s="243" t="s">
        <v>2514</v>
      </c>
      <c r="P327" s="151">
        <f t="shared" si="8"/>
        <v>-1.933667849712406E-2</v>
      </c>
      <c r="AS327" s="2" t="s">
        <v>1916</v>
      </c>
    </row>
    <row r="328" spans="2:45" ht="14.25" customHeight="1">
      <c r="B328" s="243">
        <v>571.45000000000005</v>
      </c>
      <c r="C328" s="243">
        <v>575.74</v>
      </c>
      <c r="D328" s="243">
        <v>569.29</v>
      </c>
      <c r="E328" s="243">
        <v>575.73</v>
      </c>
      <c r="F328" s="243">
        <v>8781254</v>
      </c>
      <c r="G328" s="243" t="s">
        <v>2515</v>
      </c>
      <c r="H328" s="151">
        <f t="shared" si="9"/>
        <v>-7.4340402619282875E-3</v>
      </c>
      <c r="J328" s="243">
        <v>243.01</v>
      </c>
      <c r="K328" s="243">
        <v>251.98</v>
      </c>
      <c r="L328" s="243">
        <v>241.23500000000001</v>
      </c>
      <c r="M328" s="243">
        <v>249.74</v>
      </c>
      <c r="N328" s="243">
        <v>694067</v>
      </c>
      <c r="O328" s="243" t="s">
        <v>2515</v>
      </c>
      <c r="P328" s="151">
        <f t="shared" si="8"/>
        <v>-2.6948025946984977E-2</v>
      </c>
      <c r="AO328" s="1" t="s">
        <v>1926</v>
      </c>
    </row>
    <row r="329" spans="2:45" ht="14.25" customHeight="1">
      <c r="B329" s="243">
        <v>581.02</v>
      </c>
      <c r="C329" s="243">
        <v>588.16139999999996</v>
      </c>
      <c r="D329" s="243">
        <v>579.84</v>
      </c>
      <c r="E329" s="243">
        <v>587.83000000000004</v>
      </c>
      <c r="F329" s="243">
        <v>7046843</v>
      </c>
      <c r="G329" s="243" t="s">
        <v>2516</v>
      </c>
      <c r="H329" s="151">
        <f t="shared" si="9"/>
        <v>-1.1584982052634363E-2</v>
      </c>
      <c r="J329" s="243">
        <v>252.27</v>
      </c>
      <c r="K329" s="243">
        <v>261.81</v>
      </c>
      <c r="L329" s="243">
        <v>249.11</v>
      </c>
      <c r="M329" s="243">
        <v>250.5</v>
      </c>
      <c r="N329" s="243">
        <v>1079308</v>
      </c>
      <c r="O329" s="243" t="s">
        <v>2516</v>
      </c>
      <c r="P329" s="151">
        <f t="shared" si="8"/>
        <v>7.0658682634729963E-3</v>
      </c>
      <c r="AP329" s="2" t="s">
        <v>1927</v>
      </c>
    </row>
    <row r="330" spans="2:45" ht="14.25" customHeight="1">
      <c r="B330" s="243">
        <v>583.21</v>
      </c>
      <c r="C330" s="243">
        <v>586.15</v>
      </c>
      <c r="D330" s="243">
        <v>580.54999999999995</v>
      </c>
      <c r="E330" s="243">
        <v>584.66</v>
      </c>
      <c r="F330" s="243">
        <v>6974729</v>
      </c>
      <c r="G330" s="243" t="s">
        <v>2517</v>
      </c>
      <c r="H330" s="151">
        <f t="shared" si="9"/>
        <v>-2.4800738890977669E-3</v>
      </c>
      <c r="J330" s="243">
        <v>254.21</v>
      </c>
      <c r="K330" s="243">
        <v>258.84500000000003</v>
      </c>
      <c r="L330" s="243">
        <v>244.51</v>
      </c>
      <c r="M330" s="243">
        <v>247</v>
      </c>
      <c r="N330" s="243">
        <v>1200155</v>
      </c>
      <c r="O330" s="243" t="s">
        <v>2517</v>
      </c>
      <c r="P330" s="151">
        <f t="shared" si="8"/>
        <v>2.9190283400809758E-2</v>
      </c>
      <c r="AQ330" s="2" t="s">
        <v>1997</v>
      </c>
    </row>
    <row r="331" spans="2:45" ht="14.25" customHeight="1">
      <c r="B331" s="243">
        <v>583.91999999999996</v>
      </c>
      <c r="C331" s="243">
        <v>587.08000000000004</v>
      </c>
      <c r="D331" s="243">
        <v>583.12</v>
      </c>
      <c r="E331" s="243">
        <v>586.82000000000005</v>
      </c>
      <c r="F331" s="243">
        <v>5033308</v>
      </c>
      <c r="G331" s="243" t="s">
        <v>2518</v>
      </c>
      <c r="H331" s="151">
        <f t="shared" si="9"/>
        <v>-4.9418901877920085E-3</v>
      </c>
      <c r="J331" s="243">
        <v>227.15</v>
      </c>
      <c r="K331" s="243">
        <v>231.47</v>
      </c>
      <c r="L331" s="243">
        <v>225.48</v>
      </c>
      <c r="M331" s="243">
        <v>231.47</v>
      </c>
      <c r="N331" s="243">
        <v>684463</v>
      </c>
      <c r="O331" s="243" t="s">
        <v>2518</v>
      </c>
      <c r="P331" s="151">
        <f t="shared" si="8"/>
        <v>-1.8663325700954747E-2</v>
      </c>
      <c r="AP331" s="2" t="s">
        <v>2036</v>
      </c>
    </row>
    <row r="332" spans="2:45" ht="14.25" customHeight="1">
      <c r="B332" s="243">
        <v>585.44000000000005</v>
      </c>
      <c r="C332" s="243">
        <v>586.5</v>
      </c>
      <c r="D332" s="243">
        <v>584.24</v>
      </c>
      <c r="E332" s="243">
        <v>586.04</v>
      </c>
      <c r="F332" s="243">
        <v>4169858</v>
      </c>
      <c r="G332" s="243" t="s">
        <v>2519</v>
      </c>
      <c r="H332" s="151">
        <f t="shared" si="9"/>
        <v>-1.0238208995971831E-3</v>
      </c>
      <c r="J332" s="243">
        <v>230.17</v>
      </c>
      <c r="K332" s="243">
        <v>235.71010000000001</v>
      </c>
      <c r="L332" s="243">
        <v>229.77</v>
      </c>
      <c r="M332" s="243">
        <v>233.18</v>
      </c>
      <c r="N332" s="243">
        <v>598844</v>
      </c>
      <c r="O332" s="243" t="s">
        <v>2519</v>
      </c>
      <c r="P332" s="151">
        <f t="shared" si="8"/>
        <v>-1.2908482717214231E-2</v>
      </c>
      <c r="AQ332" s="2" t="s">
        <v>1979</v>
      </c>
    </row>
    <row r="333" spans="2:45" ht="14.25" customHeight="1">
      <c r="B333" s="243">
        <v>585.58000000000004</v>
      </c>
      <c r="C333" s="243">
        <v>586.04</v>
      </c>
      <c r="D333" s="243">
        <v>583.59</v>
      </c>
      <c r="E333" s="243">
        <v>583.80999999999995</v>
      </c>
      <c r="F333" s="243">
        <v>3189061</v>
      </c>
      <c r="G333" s="243" t="s">
        <v>2520</v>
      </c>
      <c r="H333" s="151">
        <f t="shared" si="9"/>
        <v>3.0318082937943469E-3</v>
      </c>
      <c r="J333" s="243">
        <v>233.1</v>
      </c>
      <c r="K333" s="243">
        <v>234.36</v>
      </c>
      <c r="L333" s="243">
        <v>229.9425</v>
      </c>
      <c r="M333" s="243">
        <v>233.01</v>
      </c>
      <c r="N333" s="243">
        <v>304761</v>
      </c>
      <c r="O333" s="243" t="s">
        <v>2520</v>
      </c>
      <c r="P333" s="151">
        <f t="shared" si="8"/>
        <v>3.8624951718801981E-4</v>
      </c>
      <c r="AO333" s="2" t="s">
        <v>1957</v>
      </c>
    </row>
    <row r="334" spans="2:45" ht="14.25" customHeight="1">
      <c r="B334" s="243">
        <v>583.26</v>
      </c>
      <c r="C334" s="243">
        <v>584.75</v>
      </c>
      <c r="D334" s="243">
        <v>582.72</v>
      </c>
      <c r="E334" s="243">
        <v>583.34</v>
      </c>
      <c r="F334" s="243">
        <v>3840901</v>
      </c>
      <c r="G334" s="243" t="s">
        <v>2521</v>
      </c>
      <c r="H334" s="151">
        <f t="shared" si="9"/>
        <v>-1.3714128981390239E-4</v>
      </c>
      <c r="J334" s="243">
        <v>230.18</v>
      </c>
      <c r="K334" s="243">
        <v>235.4</v>
      </c>
      <c r="L334" s="243">
        <v>229.13</v>
      </c>
      <c r="M334" s="243">
        <v>233.43</v>
      </c>
      <c r="N334" s="243">
        <v>349620</v>
      </c>
      <c r="O334" s="243" t="s">
        <v>2521</v>
      </c>
      <c r="P334" s="151">
        <f t="shared" si="8"/>
        <v>-1.3922803410015838E-2</v>
      </c>
      <c r="AP334" s="2" t="s">
        <v>1881</v>
      </c>
    </row>
    <row r="335" spans="2:45" ht="14.25" customHeight="1">
      <c r="B335" s="243">
        <v>582.86</v>
      </c>
      <c r="C335" s="243">
        <v>582.96</v>
      </c>
      <c r="D335" s="243">
        <v>578.87</v>
      </c>
      <c r="E335" s="243">
        <v>580.57000000000005</v>
      </c>
      <c r="F335" s="243">
        <v>4257345</v>
      </c>
      <c r="G335" s="243" t="s">
        <v>2522</v>
      </c>
      <c r="H335" s="151">
        <f t="shared" si="9"/>
        <v>3.9443994694867701E-3</v>
      </c>
      <c r="J335" s="243">
        <v>233.39</v>
      </c>
      <c r="K335" s="243">
        <v>234.89</v>
      </c>
      <c r="L335" s="243">
        <v>231.55</v>
      </c>
      <c r="M335" s="243">
        <v>233.93</v>
      </c>
      <c r="N335" s="243">
        <v>462528</v>
      </c>
      <c r="O335" s="243" t="s">
        <v>2522</v>
      </c>
      <c r="P335" s="151">
        <f t="shared" si="8"/>
        <v>-2.3083828495704672E-3</v>
      </c>
      <c r="AP335" s="2" t="s">
        <v>557</v>
      </c>
    </row>
    <row r="336" spans="2:45" ht="14.25" customHeight="1">
      <c r="B336" s="243">
        <v>577.95000000000005</v>
      </c>
      <c r="C336" s="243">
        <v>578.84</v>
      </c>
      <c r="D336" s="243">
        <v>575.64</v>
      </c>
      <c r="E336" s="243">
        <v>578.28</v>
      </c>
      <c r="F336" s="243">
        <v>4743679</v>
      </c>
      <c r="G336" s="243" t="s">
        <v>2523</v>
      </c>
      <c r="H336" s="151">
        <f t="shared" si="9"/>
        <v>-5.7065781282406025E-4</v>
      </c>
      <c r="J336" s="243">
        <v>231.88</v>
      </c>
      <c r="K336" s="243">
        <v>232.91</v>
      </c>
      <c r="L336" s="243">
        <v>229.24</v>
      </c>
      <c r="M336" s="243">
        <v>229.24</v>
      </c>
      <c r="N336" s="243">
        <v>464438</v>
      </c>
      <c r="O336" s="243" t="s">
        <v>2523</v>
      </c>
      <c r="P336" s="151">
        <f t="shared" si="8"/>
        <v>1.1516314779270509E-2</v>
      </c>
      <c r="AP336" s="2" t="s">
        <v>1826</v>
      </c>
    </row>
    <row r="337" spans="2:44" ht="14.25" customHeight="1">
      <c r="B337" s="243">
        <v>577.95000000000005</v>
      </c>
      <c r="C337" s="243">
        <v>580.53</v>
      </c>
      <c r="D337" s="243">
        <v>577.59</v>
      </c>
      <c r="E337" s="243">
        <v>577.98</v>
      </c>
      <c r="F337" s="243">
        <v>5892207</v>
      </c>
      <c r="G337" s="243" t="s">
        <v>2524</v>
      </c>
      <c r="H337" s="151">
        <f t="shared" si="9"/>
        <v>-5.1904910204458865E-5</v>
      </c>
      <c r="J337" s="243">
        <v>228.86</v>
      </c>
      <c r="K337" s="243">
        <v>232.12</v>
      </c>
      <c r="L337" s="243">
        <v>226.66</v>
      </c>
      <c r="M337" s="243">
        <v>230.26</v>
      </c>
      <c r="N337" s="243">
        <v>566487</v>
      </c>
      <c r="O337" s="243" t="s">
        <v>2524</v>
      </c>
      <c r="P337" s="151">
        <f t="shared" si="8"/>
        <v>-6.0800833840005675E-3</v>
      </c>
      <c r="AP337" s="2" t="s">
        <v>1973</v>
      </c>
    </row>
    <row r="338" spans="2:44" ht="14.25" customHeight="1">
      <c r="B338" s="243">
        <v>576.91999999999996</v>
      </c>
      <c r="C338" s="243">
        <v>578.5</v>
      </c>
      <c r="D338" s="243">
        <v>575.84</v>
      </c>
      <c r="E338" s="243">
        <v>578.47</v>
      </c>
      <c r="F338" s="243">
        <v>4244147</v>
      </c>
      <c r="G338" s="243" t="s">
        <v>2525</v>
      </c>
      <c r="H338" s="151">
        <f t="shared" si="9"/>
        <v>-2.6794820820441601E-3</v>
      </c>
      <c r="J338" s="243">
        <v>230.38</v>
      </c>
      <c r="K338" s="243">
        <v>232.44</v>
      </c>
      <c r="L338" s="243">
        <v>228.31</v>
      </c>
      <c r="M338" s="243">
        <v>232.07</v>
      </c>
      <c r="N338" s="243">
        <v>404060</v>
      </c>
      <c r="O338" s="243" t="s">
        <v>2525</v>
      </c>
      <c r="P338" s="151">
        <f t="shared" si="8"/>
        <v>-7.2822855173008127E-3</v>
      </c>
      <c r="AQ338" s="2" t="s">
        <v>581</v>
      </c>
    </row>
    <row r="339" spans="2:44" ht="14.25" customHeight="1">
      <c r="B339" s="243">
        <v>577.17999999999995</v>
      </c>
      <c r="C339" s="243">
        <v>577.65</v>
      </c>
      <c r="D339" s="243">
        <v>573.79999999999995</v>
      </c>
      <c r="E339" s="243">
        <v>574.02</v>
      </c>
      <c r="F339" s="243">
        <v>5391575</v>
      </c>
      <c r="G339" s="243" t="s">
        <v>2526</v>
      </c>
      <c r="H339" s="151">
        <f t="shared" si="9"/>
        <v>5.5050346677816275E-3</v>
      </c>
      <c r="J339" s="243">
        <v>230.1</v>
      </c>
      <c r="K339" s="243">
        <v>233.5</v>
      </c>
      <c r="L339" s="243">
        <v>229.64750000000001</v>
      </c>
      <c r="M339" s="243">
        <v>233.36</v>
      </c>
      <c r="N339" s="243">
        <v>418593</v>
      </c>
      <c r="O339" s="243" t="s">
        <v>2526</v>
      </c>
      <c r="P339" s="151">
        <f t="shared" si="8"/>
        <v>-1.3969832019197881E-2</v>
      </c>
      <c r="AR339" s="2" t="s">
        <v>1502</v>
      </c>
    </row>
    <row r="340" spans="2:44" ht="14.25" customHeight="1">
      <c r="B340" s="243">
        <v>573.74</v>
      </c>
      <c r="C340" s="243">
        <v>574.26</v>
      </c>
      <c r="D340" s="243">
        <v>568.16999999999996</v>
      </c>
      <c r="E340" s="243">
        <v>573.4</v>
      </c>
      <c r="F340" s="243">
        <v>6119852</v>
      </c>
      <c r="G340" s="243" t="s">
        <v>2527</v>
      </c>
      <c r="H340" s="151">
        <f t="shared" si="9"/>
        <v>5.9295430763861567E-4</v>
      </c>
      <c r="J340" s="243">
        <v>234.41</v>
      </c>
      <c r="K340" s="243">
        <v>240.185</v>
      </c>
      <c r="L340" s="243">
        <v>232.88</v>
      </c>
      <c r="M340" s="243">
        <v>237.98</v>
      </c>
      <c r="N340" s="243">
        <v>533236</v>
      </c>
      <c r="O340" s="243" t="s">
        <v>2527</v>
      </c>
      <c r="P340" s="151">
        <f t="shared" si="8"/>
        <v>-1.5001260610135292E-2</v>
      </c>
      <c r="AR340" s="2" t="s">
        <v>493</v>
      </c>
    </row>
    <row r="341" spans="2:44" ht="14.25" customHeight="1">
      <c r="B341" s="243">
        <v>571.86</v>
      </c>
      <c r="C341" s="243">
        <v>577.16</v>
      </c>
      <c r="D341" s="243">
        <v>571.85</v>
      </c>
      <c r="E341" s="243">
        <v>576.85</v>
      </c>
      <c r="F341" s="243">
        <v>5338268</v>
      </c>
      <c r="G341" s="243" t="s">
        <v>2528</v>
      </c>
      <c r="H341" s="151">
        <f t="shared" si="9"/>
        <v>-8.6504290543468754E-3</v>
      </c>
      <c r="J341" s="243">
        <v>236.41</v>
      </c>
      <c r="K341" s="243">
        <v>240.42</v>
      </c>
      <c r="L341" s="243">
        <v>235.98</v>
      </c>
      <c r="M341" s="243">
        <v>239.99</v>
      </c>
      <c r="N341" s="243">
        <v>552242</v>
      </c>
      <c r="O341" s="243" t="s">
        <v>2528</v>
      </c>
      <c r="P341" s="151">
        <f t="shared" si="8"/>
        <v>-1.4917288220342551E-2</v>
      </c>
      <c r="AP341" s="2" t="s">
        <v>547</v>
      </c>
    </row>
    <row r="342" spans="2:44" ht="14.25" customHeight="1">
      <c r="B342" s="243">
        <v>574.35</v>
      </c>
      <c r="C342" s="243">
        <v>574.67899999999997</v>
      </c>
      <c r="D342" s="243">
        <v>571.58000000000004</v>
      </c>
      <c r="E342" s="243">
        <v>572.85</v>
      </c>
      <c r="F342" s="243">
        <v>4719971</v>
      </c>
      <c r="G342" s="243" t="s">
        <v>2529</v>
      </c>
      <c r="H342" s="151">
        <f t="shared" si="9"/>
        <v>2.6184865147944603E-3</v>
      </c>
      <c r="J342" s="243">
        <v>239.32</v>
      </c>
      <c r="K342" s="243">
        <v>240.51</v>
      </c>
      <c r="L342" s="243">
        <v>236.28</v>
      </c>
      <c r="M342" s="243">
        <v>236.28</v>
      </c>
      <c r="N342" s="243">
        <v>398128</v>
      </c>
      <c r="O342" s="243" t="s">
        <v>2529</v>
      </c>
      <c r="P342" s="151">
        <f t="shared" si="8"/>
        <v>1.2866091078381547E-2</v>
      </c>
      <c r="AQ342" s="2" t="s">
        <v>1503</v>
      </c>
    </row>
    <row r="343" spans="2:44" ht="14.25" customHeight="1">
      <c r="B343" s="243">
        <v>573.22</v>
      </c>
      <c r="C343" s="243">
        <v>574.37570000000005</v>
      </c>
      <c r="D343" s="243">
        <v>571.37</v>
      </c>
      <c r="E343" s="243">
        <v>572.45000000000005</v>
      </c>
      <c r="F343" s="243">
        <v>4414258</v>
      </c>
      <c r="G343" s="243" t="s">
        <v>2530</v>
      </c>
      <c r="H343" s="151">
        <f t="shared" si="9"/>
        <v>1.3450956415406168E-3</v>
      </c>
      <c r="J343" s="243">
        <v>237.94</v>
      </c>
      <c r="K343" s="243">
        <v>243.11</v>
      </c>
      <c r="L343" s="243">
        <v>236.22499999999999</v>
      </c>
      <c r="M343" s="243">
        <v>243.11</v>
      </c>
      <c r="N343" s="243">
        <v>377311</v>
      </c>
      <c r="O343" s="243" t="s">
        <v>2530</v>
      </c>
      <c r="P343" s="151">
        <f t="shared" si="8"/>
        <v>-2.1266093537904762E-2</v>
      </c>
      <c r="AR343" s="2" t="s">
        <v>588</v>
      </c>
    </row>
    <row r="344" spans="2:44" ht="14.25" customHeight="1">
      <c r="B344" s="243">
        <v>575.29</v>
      </c>
      <c r="C344" s="243">
        <v>576.26</v>
      </c>
      <c r="D344" s="243">
        <v>572.70000000000005</v>
      </c>
      <c r="E344" s="243">
        <v>573.78</v>
      </c>
      <c r="F344" s="243">
        <v>4920279</v>
      </c>
      <c r="G344" s="243" t="s">
        <v>2531</v>
      </c>
      <c r="H344" s="151">
        <f t="shared" si="9"/>
        <v>2.6316706751716712E-3</v>
      </c>
      <c r="J344" s="243">
        <v>243.87</v>
      </c>
      <c r="K344" s="243">
        <v>245.78</v>
      </c>
      <c r="L344" s="243">
        <v>243.09</v>
      </c>
      <c r="M344" s="243">
        <v>244.61</v>
      </c>
      <c r="N344" s="243">
        <v>358956</v>
      </c>
      <c r="O344" s="243" t="s">
        <v>2531</v>
      </c>
      <c r="P344" s="151">
        <f t="shared" si="8"/>
        <v>-3.025223825681711E-3</v>
      </c>
      <c r="AR344" s="2" t="s">
        <v>577</v>
      </c>
    </row>
    <row r="345" spans="2:44" ht="14.25" customHeight="1">
      <c r="B345" s="243">
        <v>573.61</v>
      </c>
      <c r="C345" s="243">
        <v>574.26</v>
      </c>
      <c r="D345" s="243">
        <v>570.76</v>
      </c>
      <c r="E345" s="243">
        <v>572.46</v>
      </c>
      <c r="F345" s="243">
        <v>6833139</v>
      </c>
      <c r="G345" s="243" t="s">
        <v>2532</v>
      </c>
      <c r="H345" s="151">
        <f t="shared" si="9"/>
        <v>2.0088739824615232E-3</v>
      </c>
      <c r="J345" s="243">
        <v>244.39</v>
      </c>
      <c r="K345" s="243">
        <v>248.79</v>
      </c>
      <c r="L345" s="243">
        <v>240.12</v>
      </c>
      <c r="M345" s="243">
        <v>248.79</v>
      </c>
      <c r="N345" s="243">
        <v>485076</v>
      </c>
      <c r="O345" s="243" t="s">
        <v>2532</v>
      </c>
      <c r="P345" s="151">
        <f t="shared" si="8"/>
        <v>-1.7685598295751448E-2</v>
      </c>
      <c r="AR345" s="2" t="s">
        <v>578</v>
      </c>
    </row>
    <row r="346" spans="2:44" ht="14.25" customHeight="1">
      <c r="B346" s="243">
        <v>570.23</v>
      </c>
      <c r="C346" s="243">
        <v>571.83000000000004</v>
      </c>
      <c r="D346" s="243">
        <v>569.48</v>
      </c>
      <c r="E346" s="243">
        <v>571.15</v>
      </c>
      <c r="F346" s="243">
        <v>6916815</v>
      </c>
      <c r="G346" s="243" t="s">
        <v>2533</v>
      </c>
      <c r="H346" s="151">
        <f t="shared" si="9"/>
        <v>-1.6107852578131077E-3</v>
      </c>
      <c r="J346" s="243">
        <v>247.8</v>
      </c>
      <c r="K346" s="243">
        <v>251.35</v>
      </c>
      <c r="L346" s="243">
        <v>246.87</v>
      </c>
      <c r="M346" s="243">
        <v>247.82</v>
      </c>
      <c r="N346" s="243">
        <v>270540</v>
      </c>
      <c r="O346" s="243" t="s">
        <v>2533</v>
      </c>
      <c r="P346" s="151">
        <f t="shared" si="8"/>
        <v>-8.0703736582976582E-5</v>
      </c>
      <c r="AR346" s="1" t="s">
        <v>579</v>
      </c>
    </row>
    <row r="347" spans="2:44" ht="14.25" customHeight="1">
      <c r="B347" s="243">
        <v>570.61</v>
      </c>
      <c r="C347" s="243">
        <v>573.59</v>
      </c>
      <c r="D347" s="243">
        <v>567.98</v>
      </c>
      <c r="E347" s="243">
        <v>573</v>
      </c>
      <c r="F347" s="243">
        <v>6347907</v>
      </c>
      <c r="G347" s="243" t="s">
        <v>2534</v>
      </c>
      <c r="H347" s="151">
        <f t="shared" si="9"/>
        <v>-4.1710296684118742E-3</v>
      </c>
      <c r="J347" s="243">
        <v>248.37</v>
      </c>
      <c r="K347" s="243">
        <v>253.30500000000001</v>
      </c>
      <c r="L347" s="243">
        <v>246.66</v>
      </c>
      <c r="M347" s="243">
        <v>250.83</v>
      </c>
      <c r="N347" s="243">
        <v>315965</v>
      </c>
      <c r="O347" s="243" t="s">
        <v>2534</v>
      </c>
      <c r="P347" s="151">
        <f t="shared" si="8"/>
        <v>-9.8074393015189498E-3</v>
      </c>
      <c r="AQ347" s="2" t="s">
        <v>575</v>
      </c>
    </row>
    <row r="348" spans="2:44" ht="14.25" customHeight="1">
      <c r="B348" s="243">
        <v>575.22</v>
      </c>
      <c r="C348" s="243">
        <v>575.66999999999996</v>
      </c>
      <c r="D348" s="243">
        <v>572.13</v>
      </c>
      <c r="E348" s="243">
        <v>572.17999999999995</v>
      </c>
      <c r="F348" s="243">
        <v>4833973</v>
      </c>
      <c r="G348" s="243" t="s">
        <v>2535</v>
      </c>
      <c r="H348" s="151">
        <f t="shared" si="9"/>
        <v>5.3130133873957597E-3</v>
      </c>
      <c r="J348" s="243">
        <v>251.06</v>
      </c>
      <c r="K348" s="243">
        <v>253.9426</v>
      </c>
      <c r="L348" s="243">
        <v>248.41</v>
      </c>
      <c r="M348" s="243">
        <v>251.76</v>
      </c>
      <c r="N348" s="243">
        <v>233847</v>
      </c>
      <c r="O348" s="243" t="s">
        <v>2535</v>
      </c>
      <c r="P348" s="151">
        <f t="shared" si="8"/>
        <v>-2.7804258023513828E-3</v>
      </c>
      <c r="AR348" s="2" t="s">
        <v>1703</v>
      </c>
    </row>
    <row r="349" spans="2:44" ht="14.25" customHeight="1">
      <c r="B349" s="243">
        <v>570.29</v>
      </c>
      <c r="C349" s="243">
        <v>570.34</v>
      </c>
      <c r="D349" s="243">
        <v>566.80999999999995</v>
      </c>
      <c r="E349" s="243">
        <v>567.37</v>
      </c>
      <c r="F349" s="243">
        <v>6134026</v>
      </c>
      <c r="G349" s="243" t="s">
        <v>2536</v>
      </c>
      <c r="H349" s="151">
        <f t="shared" si="9"/>
        <v>5.1465533954913045E-3</v>
      </c>
      <c r="J349" s="243">
        <v>249.74</v>
      </c>
      <c r="K349" s="243">
        <v>252.59</v>
      </c>
      <c r="L349" s="243">
        <v>248.8</v>
      </c>
      <c r="M349" s="243">
        <v>250</v>
      </c>
      <c r="N349" s="243">
        <v>396058</v>
      </c>
      <c r="O349" s="243" t="s">
        <v>2536</v>
      </c>
      <c r="P349" s="151">
        <f t="shared" si="8"/>
        <v>-1.0399999999999299E-3</v>
      </c>
      <c r="AR349" s="2" t="s">
        <v>1789</v>
      </c>
    </row>
    <row r="350" spans="2:44" ht="14.25" customHeight="1">
      <c r="B350" s="243">
        <v>567.77</v>
      </c>
      <c r="C350" s="243">
        <v>568.79999999999995</v>
      </c>
      <c r="D350" s="243">
        <v>565.79999999999995</v>
      </c>
      <c r="E350" s="243">
        <v>566.55999999999995</v>
      </c>
      <c r="F350" s="243">
        <v>7369350</v>
      </c>
      <c r="G350" s="243" t="s">
        <v>2537</v>
      </c>
      <c r="H350" s="151">
        <f t="shared" si="9"/>
        <v>2.1356961310365907E-3</v>
      </c>
      <c r="J350" s="243">
        <v>250.68</v>
      </c>
      <c r="K350" s="243">
        <v>256.19499999999999</v>
      </c>
      <c r="L350" s="243">
        <v>246.91499999999999</v>
      </c>
      <c r="M350" s="243">
        <v>254.81</v>
      </c>
      <c r="N350" s="243">
        <v>518822</v>
      </c>
      <c r="O350" s="243" t="s">
        <v>2537</v>
      </c>
      <c r="P350" s="151">
        <f t="shared" si="8"/>
        <v>-1.6208155095953858E-2</v>
      </c>
      <c r="AQ350" s="2" t="s">
        <v>1704</v>
      </c>
    </row>
    <row r="351" spans="2:44" ht="14.25" customHeight="1">
      <c r="B351" s="243">
        <v>568.03</v>
      </c>
      <c r="C351" s="243">
        <v>569.15</v>
      </c>
      <c r="D351" s="243">
        <v>565.375</v>
      </c>
      <c r="E351" s="243">
        <v>567.5</v>
      </c>
      <c r="F351" s="243">
        <v>5719188</v>
      </c>
      <c r="G351" s="243" t="s">
        <v>2538</v>
      </c>
      <c r="H351" s="151">
        <f t="shared" si="9"/>
        <v>9.3392070484576983E-4</v>
      </c>
      <c r="J351" s="243">
        <v>256.63</v>
      </c>
      <c r="K351" s="243">
        <v>258.2045</v>
      </c>
      <c r="L351" s="243">
        <v>254.06</v>
      </c>
      <c r="M351" s="243">
        <v>256.33999999999997</v>
      </c>
      <c r="N351" s="243">
        <v>262044</v>
      </c>
      <c r="O351" s="243" t="s">
        <v>2538</v>
      </c>
      <c r="P351" s="151">
        <f t="shared" si="8"/>
        <v>1.1313099789342917E-3</v>
      </c>
      <c r="AR351" s="2" t="s">
        <v>1705</v>
      </c>
    </row>
    <row r="352" spans="2:44" ht="14.25" customHeight="1">
      <c r="B352" s="243">
        <v>566.95000000000005</v>
      </c>
      <c r="C352" s="243">
        <v>568.33000000000004</v>
      </c>
      <c r="D352" s="243">
        <v>563.21</v>
      </c>
      <c r="E352" s="243">
        <v>565.11</v>
      </c>
      <c r="F352" s="243">
        <v>6056524</v>
      </c>
      <c r="G352" s="243" t="s">
        <v>2539</v>
      </c>
      <c r="H352" s="151">
        <f t="shared" si="9"/>
        <v>3.2560032560033925E-3</v>
      </c>
      <c r="J352" s="243">
        <v>256.43</v>
      </c>
      <c r="K352" s="243">
        <v>257.25</v>
      </c>
      <c r="L352" s="243">
        <v>252.64</v>
      </c>
      <c r="M352" s="243">
        <v>253.67</v>
      </c>
      <c r="N352" s="243">
        <v>514503</v>
      </c>
      <c r="O352" s="243" t="s">
        <v>2539</v>
      </c>
      <c r="P352" s="151">
        <f t="shared" si="8"/>
        <v>1.0880277525919579E-2</v>
      </c>
      <c r="AR352" s="2" t="s">
        <v>576</v>
      </c>
    </row>
    <row r="353" spans="2:44" ht="14.25" customHeight="1">
      <c r="B353" s="243">
        <v>564.15</v>
      </c>
      <c r="C353" s="243">
        <v>564.54999999999995</v>
      </c>
      <c r="D353" s="243">
        <v>560.96</v>
      </c>
      <c r="E353" s="243">
        <v>561.52</v>
      </c>
      <c r="F353" s="243">
        <v>6081444</v>
      </c>
      <c r="G353" s="243" t="s">
        <v>2540</v>
      </c>
      <c r="H353" s="151">
        <f t="shared" si="9"/>
        <v>4.6837156290069348E-3</v>
      </c>
      <c r="J353" s="243">
        <v>253.58</v>
      </c>
      <c r="K353" s="243">
        <v>255.81</v>
      </c>
      <c r="L353" s="243">
        <v>250.75</v>
      </c>
      <c r="M353" s="243">
        <v>253.31</v>
      </c>
      <c r="N353" s="243">
        <v>296837</v>
      </c>
      <c r="O353" s="243" t="s">
        <v>2540</v>
      </c>
      <c r="P353" s="151">
        <f t="shared" si="8"/>
        <v>1.0658876475464485E-3</v>
      </c>
      <c r="AQ353" s="2" t="s">
        <v>1969</v>
      </c>
    </row>
    <row r="354" spans="2:44" ht="14.25" customHeight="1">
      <c r="B354" s="243">
        <v>559.72</v>
      </c>
      <c r="C354" s="243">
        <v>561.02</v>
      </c>
      <c r="D354" s="243">
        <v>558.34</v>
      </c>
      <c r="E354" s="243">
        <v>560.52</v>
      </c>
      <c r="F354" s="243">
        <v>16472305</v>
      </c>
      <c r="G354" s="243" t="s">
        <v>2541</v>
      </c>
      <c r="H354" s="151">
        <f t="shared" si="9"/>
        <v>-1.4272461285947946E-3</v>
      </c>
      <c r="J354" s="243">
        <v>253.22</v>
      </c>
      <c r="K354" s="243">
        <v>257.12</v>
      </c>
      <c r="L354" s="243">
        <v>250.68</v>
      </c>
      <c r="M354" s="243">
        <v>257.12</v>
      </c>
      <c r="N354" s="243">
        <v>249082</v>
      </c>
      <c r="O354" s="243" t="s">
        <v>2541</v>
      </c>
      <c r="P354" s="151">
        <f t="shared" si="8"/>
        <v>-1.5168014934660912E-2</v>
      </c>
      <c r="AR354" s="2" t="s">
        <v>1970</v>
      </c>
    </row>
    <row r="355" spans="2:44" ht="14.25" customHeight="1">
      <c r="B355" s="243">
        <v>559.44000000000005</v>
      </c>
      <c r="C355" s="243">
        <v>560.42999999999995</v>
      </c>
      <c r="D355" s="243">
        <v>556.37</v>
      </c>
      <c r="E355" s="243">
        <v>557.17999999999995</v>
      </c>
      <c r="F355" s="243">
        <v>6770036</v>
      </c>
      <c r="G355" s="243" t="s">
        <v>2542</v>
      </c>
      <c r="H355" s="151">
        <f t="shared" si="9"/>
        <v>4.0561398470873034E-3</v>
      </c>
      <c r="J355" s="243">
        <v>255.72</v>
      </c>
      <c r="K355" s="243">
        <v>256.435</v>
      </c>
      <c r="L355" s="243">
        <v>251.74</v>
      </c>
      <c r="M355" s="243">
        <v>255.93</v>
      </c>
      <c r="N355" s="243">
        <v>421151</v>
      </c>
      <c r="O355" s="243" t="s">
        <v>2542</v>
      </c>
      <c r="P355" s="151">
        <f t="shared" si="8"/>
        <v>-8.2053686554917071E-4</v>
      </c>
      <c r="AO355" s="2" t="s">
        <v>580</v>
      </c>
    </row>
    <row r="356" spans="2:44" ht="14.25" customHeight="1">
      <c r="B356" s="243">
        <v>553.36</v>
      </c>
      <c r="C356" s="243">
        <v>553.70000000000005</v>
      </c>
      <c r="D356" s="243">
        <v>545.75</v>
      </c>
      <c r="E356" s="243">
        <v>548.66</v>
      </c>
      <c r="F356" s="243">
        <v>9691151</v>
      </c>
      <c r="G356" s="243" t="s">
        <v>2543</v>
      </c>
      <c r="H356" s="151">
        <f t="shared" si="9"/>
        <v>8.5663252287391245E-3</v>
      </c>
      <c r="J356" s="243">
        <v>254.46</v>
      </c>
      <c r="K356" s="243">
        <v>256.52999999999997</v>
      </c>
      <c r="L356" s="243">
        <v>247.45920000000001</v>
      </c>
      <c r="M356" s="243">
        <v>255.84</v>
      </c>
      <c r="N356" s="243">
        <v>475650</v>
      </c>
      <c r="O356" s="243" t="s">
        <v>2543</v>
      </c>
      <c r="P356" s="151">
        <f t="shared" si="8"/>
        <v>-5.3939962476547976E-3</v>
      </c>
      <c r="AP356" s="2" t="s">
        <v>2366</v>
      </c>
    </row>
    <row r="357" spans="2:44" ht="14.25" customHeight="1">
      <c r="B357" s="243">
        <v>547.72</v>
      </c>
      <c r="C357" s="243">
        <v>552.72</v>
      </c>
      <c r="D357" s="243">
        <v>546.62</v>
      </c>
      <c r="E357" s="243">
        <v>551.72</v>
      </c>
      <c r="F357" s="243">
        <v>9942858</v>
      </c>
      <c r="G357" s="243" t="s">
        <v>2544</v>
      </c>
      <c r="H357" s="151">
        <f t="shared" si="9"/>
        <v>-7.2500543754078217E-3</v>
      </c>
      <c r="J357" s="243">
        <v>256.87</v>
      </c>
      <c r="K357" s="243">
        <v>260.09500000000003</v>
      </c>
      <c r="L357" s="243">
        <v>256.12</v>
      </c>
      <c r="M357" s="243">
        <v>258.18</v>
      </c>
      <c r="N357" s="243">
        <v>854264</v>
      </c>
      <c r="O357" s="243" t="s">
        <v>2544</v>
      </c>
      <c r="P357" s="151">
        <f t="shared" si="8"/>
        <v>-5.0739793942210509E-3</v>
      </c>
      <c r="AO357" s="2" t="s">
        <v>1790</v>
      </c>
    </row>
    <row r="358" spans="2:44" ht="14.25" customHeight="1">
      <c r="B358" s="243">
        <v>549.24</v>
      </c>
      <c r="C358" s="243">
        <v>552.71</v>
      </c>
      <c r="D358" s="243">
        <v>548.39</v>
      </c>
      <c r="E358" s="243">
        <v>550.16</v>
      </c>
      <c r="F358" s="243">
        <v>4602329</v>
      </c>
      <c r="G358" s="243" t="s">
        <v>2545</v>
      </c>
      <c r="H358" s="151">
        <f t="shared" si="9"/>
        <v>-1.6722408026754731E-3</v>
      </c>
      <c r="J358" s="243">
        <v>257.01</v>
      </c>
      <c r="K358" s="243">
        <v>258.94</v>
      </c>
      <c r="L358" s="243">
        <v>252.76</v>
      </c>
      <c r="M358" s="243">
        <v>258.54000000000002</v>
      </c>
      <c r="N358" s="243">
        <v>322935</v>
      </c>
      <c r="O358" s="243" t="s">
        <v>2545</v>
      </c>
      <c r="P358" s="151">
        <f t="shared" si="8"/>
        <v>-5.9178463680669147E-3</v>
      </c>
      <c r="AP358" s="2" t="s">
        <v>2367</v>
      </c>
    </row>
    <row r="359" spans="2:44" ht="14.25" customHeight="1">
      <c r="B359" s="243">
        <v>549.35</v>
      </c>
      <c r="C359" s="243">
        <v>553.16</v>
      </c>
      <c r="D359" s="243">
        <v>548.63499999999999</v>
      </c>
      <c r="E359" s="243">
        <v>551.79</v>
      </c>
      <c r="F359" s="243">
        <v>4753344</v>
      </c>
      <c r="G359" s="243" t="s">
        <v>2546</v>
      </c>
      <c r="H359" s="151">
        <f t="shared" si="9"/>
        <v>-4.4219721270771783E-3</v>
      </c>
      <c r="J359" s="243">
        <v>255.95</v>
      </c>
      <c r="K359" s="243">
        <v>258.185</v>
      </c>
      <c r="L359" s="243">
        <v>249.09</v>
      </c>
      <c r="M359" s="243">
        <v>256.01</v>
      </c>
      <c r="N359" s="243">
        <v>376544</v>
      </c>
      <c r="O359" s="243" t="s">
        <v>2546</v>
      </c>
      <c r="P359" s="151">
        <f t="shared" si="8"/>
        <v>-2.3436584508418346E-4</v>
      </c>
      <c r="AO359" s="2" t="s">
        <v>1788</v>
      </c>
    </row>
    <row r="360" spans="2:44" ht="14.25" customHeight="1">
      <c r="B360" s="243">
        <v>554.07000000000005</v>
      </c>
      <c r="C360" s="243">
        <v>555.69000000000005</v>
      </c>
      <c r="D360" s="243">
        <v>551.87</v>
      </c>
      <c r="E360" s="243">
        <v>551.94000000000005</v>
      </c>
      <c r="F360" s="243">
        <v>7421327</v>
      </c>
      <c r="G360" s="243" t="s">
        <v>2547</v>
      </c>
      <c r="H360" s="151">
        <f t="shared" si="9"/>
        <v>3.8591151212088448E-3</v>
      </c>
      <c r="J360" s="243">
        <v>260.97000000000003</v>
      </c>
      <c r="K360" s="243">
        <v>265.48</v>
      </c>
      <c r="L360" s="243">
        <v>259.12</v>
      </c>
      <c r="M360" s="243">
        <v>259.77999999999997</v>
      </c>
      <c r="N360" s="243">
        <v>874400</v>
      </c>
      <c r="O360" s="243" t="s">
        <v>2547</v>
      </c>
      <c r="P360" s="151">
        <f t="shared" si="8"/>
        <v>4.5807991377322388E-3</v>
      </c>
      <c r="AO360" s="2" t="s">
        <v>492</v>
      </c>
    </row>
    <row r="361" spans="2:44" ht="14.25" customHeight="1">
      <c r="B361" s="243">
        <v>548.77</v>
      </c>
      <c r="C361" s="243">
        <v>553.245</v>
      </c>
      <c r="D361" s="243">
        <v>547.41</v>
      </c>
      <c r="E361" s="243">
        <v>550.24</v>
      </c>
      <c r="F361" s="243">
        <v>7062316</v>
      </c>
      <c r="G361" s="243" t="s">
        <v>2548</v>
      </c>
      <c r="H361" s="151">
        <f t="shared" si="9"/>
        <v>-2.671561500436237E-3</v>
      </c>
      <c r="J361" s="243">
        <v>256.5</v>
      </c>
      <c r="K361" s="243">
        <v>259.18</v>
      </c>
      <c r="L361" s="243">
        <v>250.01</v>
      </c>
      <c r="M361" s="243">
        <v>250.34</v>
      </c>
      <c r="N361" s="243">
        <v>367891</v>
      </c>
      <c r="O361" s="243" t="s">
        <v>2548</v>
      </c>
      <c r="P361" s="151">
        <f t="shared" si="8"/>
        <v>2.4606535112247307E-2</v>
      </c>
      <c r="AP361" s="2" t="s">
        <v>501</v>
      </c>
    </row>
    <row r="362" spans="2:44" ht="14.25" customHeight="1">
      <c r="B362" s="243">
        <v>554.95000000000005</v>
      </c>
      <c r="C362" s="243">
        <v>555</v>
      </c>
      <c r="D362" s="243">
        <v>551.13220000000001</v>
      </c>
      <c r="E362" s="243">
        <v>551.6</v>
      </c>
      <c r="F362" s="243">
        <v>8422943</v>
      </c>
      <c r="G362" s="243" t="s">
        <v>2549</v>
      </c>
      <c r="H362" s="151">
        <f t="shared" si="9"/>
        <v>6.0732414793329692E-3</v>
      </c>
      <c r="J362" s="243">
        <v>253.4</v>
      </c>
      <c r="K362" s="243">
        <v>253.62</v>
      </c>
      <c r="L362" s="243">
        <v>250.625</v>
      </c>
      <c r="M362" s="243">
        <v>252.78</v>
      </c>
      <c r="N362" s="243">
        <v>260581</v>
      </c>
      <c r="O362" s="243" t="s">
        <v>2549</v>
      </c>
      <c r="P362" s="151">
        <f t="shared" si="8"/>
        <v>2.4527256903235095E-3</v>
      </c>
    </row>
    <row r="363" spans="2:44" ht="14.25" customHeight="1">
      <c r="B363" s="243">
        <v>552.86</v>
      </c>
      <c r="C363" s="243">
        <v>556.22500000000002</v>
      </c>
      <c r="D363" s="243">
        <v>550.91</v>
      </c>
      <c r="E363" s="243">
        <v>555.41</v>
      </c>
      <c r="F363" s="243">
        <v>20800557</v>
      </c>
      <c r="G363" s="243" t="s">
        <v>2550</v>
      </c>
      <c r="H363" s="151">
        <f t="shared" si="9"/>
        <v>-4.5912028951584638E-3</v>
      </c>
      <c r="J363" s="243">
        <v>253.31</v>
      </c>
      <c r="K363" s="243">
        <v>255.73</v>
      </c>
      <c r="L363" s="243">
        <v>250.56290000000001</v>
      </c>
      <c r="M363" s="243">
        <v>255.73</v>
      </c>
      <c r="N363" s="243">
        <v>339348</v>
      </c>
      <c r="O363" s="243" t="s">
        <v>2550</v>
      </c>
      <c r="P363" s="151">
        <f t="shared" si="8"/>
        <v>-9.4631056192077123E-3</v>
      </c>
    </row>
    <row r="364" spans="2:44" ht="14.25" customHeight="1">
      <c r="B364" s="243">
        <v>554.39</v>
      </c>
      <c r="C364" s="243">
        <v>554.74</v>
      </c>
      <c r="D364" s="243">
        <v>550.74</v>
      </c>
      <c r="E364" s="243">
        <v>551.78</v>
      </c>
      <c r="F364" s="243">
        <v>5951290</v>
      </c>
      <c r="G364" s="243" t="s">
        <v>2551</v>
      </c>
      <c r="H364" s="151">
        <f t="shared" si="9"/>
        <v>4.7301460727102729E-3</v>
      </c>
      <c r="J364" s="243">
        <v>255.73</v>
      </c>
      <c r="K364" s="243">
        <v>259.06</v>
      </c>
      <c r="L364" s="243">
        <v>254.51</v>
      </c>
      <c r="M364" s="243">
        <v>257.62</v>
      </c>
      <c r="N364" s="243">
        <v>333423</v>
      </c>
      <c r="O364" s="243" t="s">
        <v>2551</v>
      </c>
      <c r="P364" s="151">
        <f t="shared" si="8"/>
        <v>-7.3363869264809756E-3</v>
      </c>
    </row>
    <row r="365" spans="2:44" ht="14.25" customHeight="1">
      <c r="B365" s="243">
        <v>551.25</v>
      </c>
      <c r="C365" s="243">
        <v>552.70000000000005</v>
      </c>
      <c r="D365" s="243">
        <v>550.20000000000005</v>
      </c>
      <c r="E365" s="243">
        <v>551.29999999999995</v>
      </c>
      <c r="F365" s="243">
        <v>4482378</v>
      </c>
      <c r="G365" s="243" t="s">
        <v>2552</v>
      </c>
      <c r="H365" s="151">
        <f t="shared" si="9"/>
        <v>-9.0694721567086134E-5</v>
      </c>
      <c r="J365" s="243">
        <v>256.49</v>
      </c>
      <c r="K365" s="243">
        <v>259.98500000000001</v>
      </c>
      <c r="L365" s="243">
        <v>250.45</v>
      </c>
      <c r="M365" s="243">
        <v>258.95999999999998</v>
      </c>
      <c r="N365" s="243">
        <v>560315</v>
      </c>
      <c r="O365" s="243" t="s">
        <v>2552</v>
      </c>
      <c r="P365" s="151">
        <f t="shared" si="8"/>
        <v>-9.5381526104416636E-3</v>
      </c>
    </row>
    <row r="366" spans="2:44" ht="14.25" customHeight="1">
      <c r="B366" s="243">
        <v>550.66</v>
      </c>
      <c r="C366" s="243">
        <v>552.32000000000005</v>
      </c>
      <c r="D366" s="243">
        <v>548.69989999999996</v>
      </c>
      <c r="E366" s="243">
        <v>550.29999999999995</v>
      </c>
      <c r="F366" s="243">
        <v>4712599</v>
      </c>
      <c r="G366" s="243" t="s">
        <v>2553</v>
      </c>
      <c r="H366" s="151">
        <f t="shared" si="9"/>
        <v>6.5418862438670899E-4</v>
      </c>
      <c r="J366" s="243">
        <v>258.89999999999998</v>
      </c>
      <c r="K366" s="243">
        <v>262.62</v>
      </c>
      <c r="L366" s="243">
        <v>256.79000000000002</v>
      </c>
      <c r="M366" s="243">
        <v>260.22000000000003</v>
      </c>
      <c r="N366" s="243">
        <v>376022</v>
      </c>
      <c r="O366" s="243" t="s">
        <v>2553</v>
      </c>
      <c r="P366" s="151">
        <f t="shared" si="8"/>
        <v>-5.0726308508187712E-3</v>
      </c>
      <c r="AN366" s="1" t="s">
        <v>1873</v>
      </c>
    </row>
    <row r="367" spans="2:44" ht="14.25" customHeight="1">
      <c r="B367" s="243">
        <v>545.09</v>
      </c>
      <c r="C367" s="243">
        <v>550.63</v>
      </c>
      <c r="D367" s="243">
        <v>543.33749999999998</v>
      </c>
      <c r="E367" s="243">
        <v>549.48</v>
      </c>
      <c r="F367" s="243">
        <v>6334538</v>
      </c>
      <c r="G367" s="243" t="s">
        <v>2554</v>
      </c>
      <c r="H367" s="151">
        <f t="shared" si="9"/>
        <v>-7.9893717696730704E-3</v>
      </c>
      <c r="J367" s="243">
        <v>258.38</v>
      </c>
      <c r="K367" s="243">
        <v>259.36</v>
      </c>
      <c r="L367" s="243">
        <v>254.92500000000001</v>
      </c>
      <c r="M367" s="243">
        <v>255.85</v>
      </c>
      <c r="N367" s="243">
        <v>466871</v>
      </c>
      <c r="O367" s="243" t="s">
        <v>2554</v>
      </c>
      <c r="P367" s="151">
        <f t="shared" si="8"/>
        <v>9.8886066054328925E-3</v>
      </c>
    </row>
    <row r="368" spans="2:44" ht="14.25" customHeight="1">
      <c r="B368" s="243">
        <v>547.65</v>
      </c>
      <c r="C368" s="243">
        <v>549.65</v>
      </c>
      <c r="D368" s="243">
        <v>547.44259999999997</v>
      </c>
      <c r="E368" s="243">
        <v>548.75</v>
      </c>
      <c r="F368" s="243">
        <v>4510272</v>
      </c>
      <c r="G368" s="243" t="s">
        <v>2555</v>
      </c>
      <c r="H368" s="151">
        <f t="shared" si="9"/>
        <v>-2.0045558086561055E-3</v>
      </c>
      <c r="J368" s="243">
        <v>255.33</v>
      </c>
      <c r="K368" s="243">
        <v>258.72250000000003</v>
      </c>
      <c r="L368" s="243">
        <v>253.19</v>
      </c>
      <c r="M368" s="243">
        <v>258.27</v>
      </c>
      <c r="N368" s="243">
        <v>520449</v>
      </c>
      <c r="O368" s="243" t="s">
        <v>2555</v>
      </c>
      <c r="P368" s="151">
        <f t="shared" si="8"/>
        <v>-1.1383435939133379E-2</v>
      </c>
    </row>
    <row r="369" spans="2:16" ht="14.25" customHeight="1">
      <c r="B369" s="243">
        <v>548</v>
      </c>
      <c r="C369" s="243">
        <v>548.87</v>
      </c>
      <c r="D369" s="243">
        <v>544.09</v>
      </c>
      <c r="E369" s="243">
        <v>544.53</v>
      </c>
      <c r="F369" s="243">
        <v>4968649</v>
      </c>
      <c r="G369" s="243" t="s">
        <v>2556</v>
      </c>
      <c r="H369" s="151">
        <f t="shared" si="9"/>
        <v>6.3724679999266343E-3</v>
      </c>
      <c r="J369" s="243">
        <v>257.36</v>
      </c>
      <c r="K369" s="243">
        <v>258.2475</v>
      </c>
      <c r="L369" s="243">
        <v>251.47</v>
      </c>
      <c r="M369" s="243">
        <v>255.29</v>
      </c>
      <c r="N369" s="243">
        <v>515073</v>
      </c>
      <c r="O369" s="243" t="s">
        <v>2556</v>
      </c>
      <c r="P369" s="151">
        <f t="shared" si="8"/>
        <v>8.1084257119354852E-3</v>
      </c>
    </row>
    <row r="370" spans="2:16" ht="14.25" customHeight="1">
      <c r="B370" s="243">
        <v>544.91</v>
      </c>
      <c r="C370" s="243">
        <v>544.91</v>
      </c>
      <c r="D370" s="243">
        <v>537.79999999999995</v>
      </c>
      <c r="E370" s="243">
        <v>540.25</v>
      </c>
      <c r="F370" s="243">
        <v>5900870</v>
      </c>
      <c r="G370" s="243" t="s">
        <v>2557</v>
      </c>
      <c r="H370" s="151">
        <f t="shared" si="9"/>
        <v>8.6256362795000818E-3</v>
      </c>
      <c r="J370" s="243">
        <v>256.16000000000003</v>
      </c>
      <c r="K370" s="243">
        <v>267.83999999999997</v>
      </c>
      <c r="L370" s="243">
        <v>255.255</v>
      </c>
      <c r="M370" s="243">
        <v>266.64</v>
      </c>
      <c r="N370" s="243">
        <v>692533</v>
      </c>
      <c r="O370" s="243" t="s">
        <v>2557</v>
      </c>
      <c r="P370" s="151">
        <f t="shared" si="8"/>
        <v>-3.9303930393039144E-2</v>
      </c>
    </row>
    <row r="371" spans="2:16" ht="14.25" customHeight="1">
      <c r="B371" s="243">
        <v>541.76</v>
      </c>
      <c r="C371" s="243">
        <v>543.39</v>
      </c>
      <c r="D371" s="243">
        <v>536.16</v>
      </c>
      <c r="E371" s="243">
        <v>541.35</v>
      </c>
      <c r="F371" s="243">
        <v>6160101</v>
      </c>
      <c r="G371" s="243" t="s">
        <v>2558</v>
      </c>
      <c r="H371" s="151">
        <f t="shared" si="9"/>
        <v>7.5736584464758394E-4</v>
      </c>
      <c r="J371" s="243">
        <v>266.97000000000003</v>
      </c>
      <c r="K371" s="243">
        <v>268.63</v>
      </c>
      <c r="L371" s="243">
        <v>263.16000000000003</v>
      </c>
      <c r="M371" s="243">
        <v>264.7</v>
      </c>
      <c r="N371" s="243">
        <v>502637</v>
      </c>
      <c r="O371" s="243" t="s">
        <v>2558</v>
      </c>
      <c r="P371" s="151">
        <f t="shared" si="8"/>
        <v>8.5757461276918523E-3</v>
      </c>
    </row>
    <row r="372" spans="2:16" ht="14.25" customHeight="1">
      <c r="B372" s="243">
        <v>542.32000000000005</v>
      </c>
      <c r="C372" s="243">
        <v>545.28</v>
      </c>
      <c r="D372" s="243">
        <v>538.74</v>
      </c>
      <c r="E372" s="243">
        <v>545.15</v>
      </c>
      <c r="F372" s="243">
        <v>4668939</v>
      </c>
      <c r="G372" s="243" t="s">
        <v>2559</v>
      </c>
      <c r="H372" s="151">
        <f t="shared" si="9"/>
        <v>-5.1912317710720579E-3</v>
      </c>
      <c r="J372" s="243">
        <v>265.52999999999997</v>
      </c>
      <c r="K372" s="243">
        <v>265.63499999999999</v>
      </c>
      <c r="L372" s="243">
        <v>260.38</v>
      </c>
      <c r="M372" s="243">
        <v>262.81</v>
      </c>
      <c r="N372" s="243">
        <v>426101</v>
      </c>
      <c r="O372" s="243" t="s">
        <v>2559</v>
      </c>
      <c r="P372" s="151">
        <f t="shared" si="8"/>
        <v>1.0349682279974015E-2</v>
      </c>
    </row>
    <row r="373" spans="2:16" ht="14.25" customHeight="1">
      <c r="B373" s="243">
        <v>540.24</v>
      </c>
      <c r="C373" s="243">
        <v>544.9</v>
      </c>
      <c r="D373" s="243">
        <v>539.61</v>
      </c>
      <c r="E373" s="243">
        <v>543.79</v>
      </c>
      <c r="F373" s="243">
        <v>4806244</v>
      </c>
      <c r="G373" s="243" t="s">
        <v>2560</v>
      </c>
      <c r="H373" s="151">
        <f t="shared" si="9"/>
        <v>-6.5282553927066278E-3</v>
      </c>
      <c r="J373" s="243">
        <v>264.29000000000002</v>
      </c>
      <c r="K373" s="243">
        <v>273.86500000000001</v>
      </c>
      <c r="L373" s="243">
        <v>261.5</v>
      </c>
      <c r="M373" s="243">
        <v>272.7</v>
      </c>
      <c r="N373" s="243">
        <v>752138</v>
      </c>
      <c r="O373" s="243" t="s">
        <v>2560</v>
      </c>
      <c r="P373" s="151">
        <f t="shared" si="8"/>
        <v>-3.0839750641730723E-2</v>
      </c>
    </row>
    <row r="374" spans="2:16" ht="14.25" customHeight="1">
      <c r="B374" s="243">
        <v>543.34</v>
      </c>
      <c r="C374" s="243">
        <v>543.52</v>
      </c>
      <c r="D374" s="243">
        <v>537.17999999999995</v>
      </c>
      <c r="E374" s="243">
        <v>538.72</v>
      </c>
      <c r="F374" s="243">
        <v>6086299</v>
      </c>
      <c r="G374" s="243" t="s">
        <v>2561</v>
      </c>
      <c r="H374" s="151">
        <f t="shared" si="9"/>
        <v>8.5758835758835694E-3</v>
      </c>
      <c r="J374" s="243">
        <v>272.63</v>
      </c>
      <c r="K374" s="243">
        <v>275.41000000000003</v>
      </c>
      <c r="L374" s="243">
        <v>270</v>
      </c>
      <c r="M374" s="243">
        <v>272.2</v>
      </c>
      <c r="N374" s="243">
        <v>269096</v>
      </c>
      <c r="O374" s="243" t="s">
        <v>2561</v>
      </c>
      <c r="P374" s="151">
        <f t="shared" si="8"/>
        <v>1.5797207935341895E-3</v>
      </c>
    </row>
    <row r="375" spans="2:16" ht="14.25" customHeight="1">
      <c r="B375" s="243">
        <v>532.4</v>
      </c>
      <c r="C375" s="243">
        <v>534.80989999999997</v>
      </c>
      <c r="D375" s="243">
        <v>529.11</v>
      </c>
      <c r="E375" s="243">
        <v>529.42999999999995</v>
      </c>
      <c r="F375" s="243">
        <v>6455875</v>
      </c>
      <c r="G375" s="243" t="s">
        <v>2562</v>
      </c>
      <c r="H375" s="151">
        <f t="shared" si="9"/>
        <v>5.6098067733223456E-3</v>
      </c>
      <c r="J375" s="243">
        <v>268.54000000000002</v>
      </c>
      <c r="K375" s="243">
        <v>270.125</v>
      </c>
      <c r="L375" s="243">
        <v>264.02499999999998</v>
      </c>
      <c r="M375" s="243">
        <v>266.17</v>
      </c>
      <c r="N375" s="243">
        <v>235921</v>
      </c>
      <c r="O375" s="243" t="s">
        <v>2562</v>
      </c>
      <c r="P375" s="151">
        <f t="shared" si="8"/>
        <v>8.9040838561822433E-3</v>
      </c>
    </row>
    <row r="376" spans="2:16" ht="14.25" customHeight="1">
      <c r="B376" s="243">
        <v>536.02</v>
      </c>
      <c r="C376" s="243">
        <v>539.22500000000002</v>
      </c>
      <c r="D376" s="243">
        <v>534.44000000000005</v>
      </c>
      <c r="E376" s="243">
        <v>535.6</v>
      </c>
      <c r="F376" s="243">
        <v>5816572</v>
      </c>
      <c r="G376" s="243" t="s">
        <v>2563</v>
      </c>
      <c r="H376" s="151">
        <f t="shared" si="9"/>
        <v>7.8416728902164223E-4</v>
      </c>
      <c r="J376" s="243">
        <v>266.75</v>
      </c>
      <c r="K376" s="243">
        <v>272.32</v>
      </c>
      <c r="L376" s="243">
        <v>266.75</v>
      </c>
      <c r="M376" s="243">
        <v>268.72000000000003</v>
      </c>
      <c r="N376" s="243">
        <v>297958</v>
      </c>
      <c r="O376" s="243" t="s">
        <v>2563</v>
      </c>
      <c r="P376" s="151">
        <f t="shared" si="8"/>
        <v>-7.3310509080084518E-3</v>
      </c>
    </row>
    <row r="377" spans="2:16" ht="14.25" customHeight="1">
      <c r="B377" s="243">
        <v>535.77</v>
      </c>
      <c r="C377" s="243">
        <v>544.69050000000004</v>
      </c>
      <c r="D377" s="243">
        <v>534.82000000000005</v>
      </c>
      <c r="E377" s="243">
        <v>540.91</v>
      </c>
      <c r="F377" s="243">
        <v>6339491</v>
      </c>
      <c r="G377" s="243" t="s">
        <v>2564</v>
      </c>
      <c r="H377" s="151">
        <f t="shared" si="9"/>
        <v>-9.5025050378065856E-3</v>
      </c>
      <c r="J377" s="243">
        <v>270.39</v>
      </c>
      <c r="K377" s="243">
        <v>281.02</v>
      </c>
      <c r="L377" s="243">
        <v>268.315</v>
      </c>
      <c r="M377" s="243">
        <v>280.32</v>
      </c>
      <c r="N377" s="243">
        <v>475600</v>
      </c>
      <c r="O377" s="243" t="s">
        <v>2564</v>
      </c>
      <c r="P377" s="151">
        <f t="shared" si="8"/>
        <v>-3.5423801369863006E-2</v>
      </c>
    </row>
    <row r="378" spans="2:16" ht="14.25" customHeight="1">
      <c r="B378" s="243">
        <v>544.88</v>
      </c>
      <c r="C378" s="243">
        <v>546.05999999999995</v>
      </c>
      <c r="D378" s="243">
        <v>541.99</v>
      </c>
      <c r="E378" s="243">
        <v>545.22</v>
      </c>
      <c r="F378" s="243">
        <v>7158205</v>
      </c>
      <c r="G378" s="243" t="s">
        <v>2565</v>
      </c>
      <c r="H378" s="151">
        <f t="shared" si="9"/>
        <v>-6.2360148197060372E-4</v>
      </c>
      <c r="J378" s="243">
        <v>281.13</v>
      </c>
      <c r="K378" s="243">
        <v>286.91000000000003</v>
      </c>
      <c r="L378" s="243">
        <v>278.74</v>
      </c>
      <c r="M378" s="243">
        <v>282.64999999999998</v>
      </c>
      <c r="N378" s="243">
        <v>449597</v>
      </c>
      <c r="O378" s="243" t="s">
        <v>2565</v>
      </c>
      <c r="P378" s="151">
        <f t="shared" si="8"/>
        <v>-5.377675570493512E-3</v>
      </c>
    </row>
    <row r="379" spans="2:16" ht="14.25" customHeight="1">
      <c r="B379" s="243">
        <v>546.82000000000005</v>
      </c>
      <c r="C379" s="243">
        <v>547.45000000000005</v>
      </c>
      <c r="D379" s="243">
        <v>540.58000000000004</v>
      </c>
      <c r="E379" s="243">
        <v>540.63</v>
      </c>
      <c r="F379" s="243">
        <v>7766058</v>
      </c>
      <c r="G379" s="243" t="s">
        <v>2566</v>
      </c>
      <c r="H379" s="151">
        <f t="shared" si="9"/>
        <v>1.144960509035764E-2</v>
      </c>
      <c r="J379" s="243">
        <v>281.56</v>
      </c>
      <c r="K379" s="243">
        <v>281.63</v>
      </c>
      <c r="L379" s="243">
        <v>277.39010000000002</v>
      </c>
      <c r="M379" s="243">
        <v>279.04000000000002</v>
      </c>
      <c r="N379" s="243">
        <v>347155</v>
      </c>
      <c r="O379" s="243" t="s">
        <v>2566</v>
      </c>
      <c r="P379" s="151">
        <f t="shared" si="8"/>
        <v>9.0309633027523262E-3</v>
      </c>
    </row>
    <row r="380" spans="2:16" ht="14.25" customHeight="1">
      <c r="B380" s="243">
        <v>546.26</v>
      </c>
      <c r="C380" s="243">
        <v>546.47</v>
      </c>
      <c r="D380" s="243">
        <v>541.70000000000005</v>
      </c>
      <c r="E380" s="243">
        <v>543.47</v>
      </c>
      <c r="F380" s="243">
        <v>7255342</v>
      </c>
      <c r="G380" s="243" t="s">
        <v>2567</v>
      </c>
      <c r="H380" s="151">
        <f t="shared" si="9"/>
        <v>5.1336780319060082E-3</v>
      </c>
      <c r="J380" s="243">
        <v>280.68</v>
      </c>
      <c r="K380" s="243">
        <v>281.63499999999999</v>
      </c>
      <c r="L380" s="243">
        <v>272.99</v>
      </c>
      <c r="M380" s="243">
        <v>276.41000000000003</v>
      </c>
      <c r="N380" s="243">
        <v>711572</v>
      </c>
      <c r="O380" s="243" t="s">
        <v>2567</v>
      </c>
      <c r="P380" s="151">
        <f t="shared" si="8"/>
        <v>1.5448066278354489E-2</v>
      </c>
    </row>
    <row r="381" spans="2:16" ht="14.25" customHeight="1">
      <c r="B381" s="243">
        <v>542.76</v>
      </c>
      <c r="C381" s="243">
        <v>543.24890000000005</v>
      </c>
      <c r="D381" s="243">
        <v>537.84</v>
      </c>
      <c r="E381" s="243">
        <v>538.26</v>
      </c>
      <c r="F381" s="243">
        <v>7362193</v>
      </c>
      <c r="G381" s="243" t="s">
        <v>2568</v>
      </c>
      <c r="H381" s="151">
        <f t="shared" si="9"/>
        <v>8.360271987515322E-3</v>
      </c>
      <c r="J381" s="243">
        <v>275.32</v>
      </c>
      <c r="K381" s="243">
        <v>288.62</v>
      </c>
      <c r="L381" s="243">
        <v>265.00009999999997</v>
      </c>
      <c r="M381" s="243">
        <v>286.14999999999998</v>
      </c>
      <c r="N381" s="243">
        <v>1429763</v>
      </c>
      <c r="O381" s="243" t="s">
        <v>2568</v>
      </c>
      <c r="P381" s="151">
        <f t="shared" si="8"/>
        <v>-3.7847282893587186E-2</v>
      </c>
    </row>
    <row r="382" spans="2:16" ht="14.25" customHeight="1">
      <c r="B382" s="243">
        <v>540.11</v>
      </c>
      <c r="C382" s="243">
        <v>541.41999999999996</v>
      </c>
      <c r="D382" s="243">
        <v>538.24</v>
      </c>
      <c r="E382" s="243">
        <v>540.37</v>
      </c>
      <c r="F382" s="243">
        <v>5031301</v>
      </c>
      <c r="G382" s="243" t="s">
        <v>2569</v>
      </c>
      <c r="H382" s="151">
        <f t="shared" si="9"/>
        <v>-4.8115180339391994E-4</v>
      </c>
      <c r="J382" s="243">
        <v>288.97000000000003</v>
      </c>
      <c r="K382" s="243">
        <v>300</v>
      </c>
      <c r="L382" s="243">
        <v>286.01</v>
      </c>
      <c r="M382" s="243">
        <v>296.13</v>
      </c>
      <c r="N382" s="243">
        <v>1478694</v>
      </c>
      <c r="O382" s="243" t="s">
        <v>2569</v>
      </c>
      <c r="P382" s="151">
        <f t="shared" si="8"/>
        <v>-2.4178570222537332E-2</v>
      </c>
    </row>
    <row r="383" spans="2:16" ht="14.25" customHeight="1">
      <c r="B383" s="243">
        <v>539.44000000000005</v>
      </c>
      <c r="C383" s="243">
        <v>541.48</v>
      </c>
      <c r="D383" s="243">
        <v>535.78</v>
      </c>
      <c r="E383" s="243">
        <v>536.33000000000004</v>
      </c>
      <c r="F383" s="243">
        <v>7356804</v>
      </c>
      <c r="G383" s="243" t="s">
        <v>2570</v>
      </c>
      <c r="H383" s="151">
        <f t="shared" si="9"/>
        <v>5.7986687300728423E-3</v>
      </c>
      <c r="J383" s="243">
        <v>296.05</v>
      </c>
      <c r="K383" s="243">
        <v>301.63</v>
      </c>
      <c r="L383" s="243">
        <v>295.35000000000002</v>
      </c>
      <c r="M383" s="243">
        <v>297.58</v>
      </c>
      <c r="N383" s="243">
        <v>576307</v>
      </c>
      <c r="O383" s="243" t="s">
        <v>2570</v>
      </c>
      <c r="P383" s="151">
        <f t="shared" si="8"/>
        <v>-5.1414745614624113E-3</v>
      </c>
    </row>
    <row r="384" spans="2:16" ht="14.25" customHeight="1">
      <c r="B384" s="243">
        <v>535.91999999999996</v>
      </c>
      <c r="C384" s="243">
        <v>535.91999999999996</v>
      </c>
      <c r="D384" s="243">
        <v>530.39</v>
      </c>
      <c r="E384" s="243">
        <v>534.5</v>
      </c>
      <c r="F384" s="243">
        <v>7793576</v>
      </c>
      <c r="G384" s="243" t="s">
        <v>2571</v>
      </c>
      <c r="H384" s="151">
        <f t="shared" si="9"/>
        <v>2.6566884939194235E-3</v>
      </c>
      <c r="J384" s="243">
        <v>297.55</v>
      </c>
      <c r="K384" s="243">
        <v>302.49</v>
      </c>
      <c r="L384" s="243">
        <v>291.04410000000001</v>
      </c>
      <c r="M384" s="243">
        <v>300</v>
      </c>
      <c r="N384" s="243">
        <v>401716</v>
      </c>
      <c r="O384" s="243" t="s">
        <v>2571</v>
      </c>
      <c r="P384" s="151">
        <f t="shared" si="8"/>
        <v>-8.1666666666666554E-3</v>
      </c>
    </row>
    <row r="385" spans="2:43" ht="14.25" customHeight="1">
      <c r="B385" s="243">
        <v>518.65</v>
      </c>
      <c r="C385" s="243">
        <v>521.63059999999996</v>
      </c>
      <c r="D385" s="243">
        <v>517.36</v>
      </c>
      <c r="E385" s="243">
        <v>520.69000000000005</v>
      </c>
      <c r="F385" s="243">
        <v>4739506</v>
      </c>
      <c r="G385" s="243" t="s">
        <v>2572</v>
      </c>
      <c r="H385" s="151">
        <f t="shared" si="9"/>
        <v>-3.9178782000808265E-3</v>
      </c>
      <c r="J385" s="243">
        <v>297.32</v>
      </c>
      <c r="K385" s="243">
        <v>308.99</v>
      </c>
      <c r="L385" s="243">
        <v>290.2448</v>
      </c>
      <c r="M385" s="243">
        <v>291.3</v>
      </c>
      <c r="N385" s="243">
        <v>973058</v>
      </c>
      <c r="O385" s="243" t="s">
        <v>2572</v>
      </c>
      <c r="P385" s="151">
        <f t="shared" ref="P385:P393" si="10">J385/M385-1</f>
        <v>2.0665980089255021E-2</v>
      </c>
    </row>
    <row r="386" spans="2:43" ht="14.25" customHeight="1">
      <c r="B386" s="243">
        <v>519.34</v>
      </c>
      <c r="C386" s="243">
        <v>524.23</v>
      </c>
      <c r="D386" s="243">
        <v>516.34500000000003</v>
      </c>
      <c r="E386" s="243">
        <v>519.54</v>
      </c>
      <c r="F386" s="243">
        <v>5088200</v>
      </c>
      <c r="G386" s="243" t="s">
        <v>2573</v>
      </c>
      <c r="H386" s="151">
        <f t="shared" ref="H386:H393" si="11">B386/E386-1</f>
        <v>-3.8495592254672584E-4</v>
      </c>
      <c r="J386" s="243">
        <v>288.73</v>
      </c>
      <c r="K386" s="243">
        <v>294.27999999999997</v>
      </c>
      <c r="L386" s="243">
        <v>288.32</v>
      </c>
      <c r="M386" s="243">
        <v>290.02</v>
      </c>
      <c r="N386" s="243">
        <v>300562</v>
      </c>
      <c r="O386" s="243" t="s">
        <v>2573</v>
      </c>
      <c r="P386" s="151">
        <f t="shared" si="10"/>
        <v>-4.447969105578764E-3</v>
      </c>
    </row>
    <row r="387" spans="2:43" ht="14.25" customHeight="1">
      <c r="B387" s="243">
        <v>515.9</v>
      </c>
      <c r="C387" s="243">
        <v>518.17999999999995</v>
      </c>
      <c r="D387" s="243">
        <v>511.1</v>
      </c>
      <c r="E387" s="243">
        <v>514.91999999999996</v>
      </c>
      <c r="F387" s="243">
        <v>5467344</v>
      </c>
      <c r="G387" s="243" t="s">
        <v>2574</v>
      </c>
      <c r="H387" s="151">
        <f t="shared" si="11"/>
        <v>1.9032082653616111E-3</v>
      </c>
      <c r="J387" s="243">
        <v>289.25</v>
      </c>
      <c r="K387" s="243">
        <v>296.44</v>
      </c>
      <c r="L387" s="243">
        <v>285.27</v>
      </c>
      <c r="M387" s="243">
        <v>290.61</v>
      </c>
      <c r="N387" s="243">
        <v>460921</v>
      </c>
      <c r="O387" s="243" t="s">
        <v>2574</v>
      </c>
      <c r="P387" s="151">
        <f t="shared" si="10"/>
        <v>-4.6798114311277228E-3</v>
      </c>
    </row>
    <row r="388" spans="2:43" ht="14.25" customHeight="1">
      <c r="B388" s="243">
        <v>513.58000000000004</v>
      </c>
      <c r="C388" s="243">
        <v>517.82500000000005</v>
      </c>
      <c r="D388" s="243">
        <v>511.94</v>
      </c>
      <c r="E388" s="243">
        <v>512.89</v>
      </c>
      <c r="F388" s="243">
        <v>4694270</v>
      </c>
      <c r="G388" s="243" t="s">
        <v>2575</v>
      </c>
      <c r="H388" s="151">
        <f t="shared" si="11"/>
        <v>1.3453177094504554E-3</v>
      </c>
      <c r="J388" s="243">
        <v>291.95999999999998</v>
      </c>
      <c r="K388" s="243">
        <v>295.06290000000001</v>
      </c>
      <c r="L388" s="243">
        <v>288.56</v>
      </c>
      <c r="M388" s="243">
        <v>289.45999999999998</v>
      </c>
      <c r="N388" s="243">
        <v>300255</v>
      </c>
      <c r="O388" s="243" t="s">
        <v>2575</v>
      </c>
      <c r="P388" s="151">
        <f t="shared" si="10"/>
        <v>8.6367719201272397E-3</v>
      </c>
    </row>
    <row r="389" spans="2:43" ht="14.25" customHeight="1">
      <c r="B389" s="243">
        <v>517.99</v>
      </c>
      <c r="C389" s="243">
        <v>520.85</v>
      </c>
      <c r="D389" s="243">
        <v>516.27</v>
      </c>
      <c r="E389" s="243">
        <v>517.08000000000004</v>
      </c>
      <c r="F389" s="243">
        <v>4793497</v>
      </c>
      <c r="G389" s="243" t="s">
        <v>2576</v>
      </c>
      <c r="H389" s="151">
        <f t="shared" si="11"/>
        <v>1.7598824166473737E-3</v>
      </c>
      <c r="J389" s="243">
        <v>293.13</v>
      </c>
      <c r="K389" s="243">
        <v>296.48</v>
      </c>
      <c r="L389" s="243">
        <v>289</v>
      </c>
      <c r="M389" s="243">
        <v>289.13</v>
      </c>
      <c r="N389" s="243">
        <v>304163</v>
      </c>
      <c r="O389" s="243" t="s">
        <v>2576</v>
      </c>
      <c r="P389" s="151">
        <f t="shared" si="10"/>
        <v>1.3834607270086119E-2</v>
      </c>
    </row>
    <row r="390" spans="2:43" ht="14.25" customHeight="1">
      <c r="B390" s="243">
        <v>520.71</v>
      </c>
      <c r="C390" s="243">
        <v>522.41</v>
      </c>
      <c r="D390" s="243">
        <v>516.89</v>
      </c>
      <c r="E390" s="243">
        <v>519.12</v>
      </c>
      <c r="F390" s="243">
        <v>6285390</v>
      </c>
      <c r="G390" s="243" t="s">
        <v>2577</v>
      </c>
      <c r="H390" s="151">
        <f t="shared" si="11"/>
        <v>3.0628756356911868E-3</v>
      </c>
      <c r="J390" s="243">
        <v>296</v>
      </c>
      <c r="K390" s="243">
        <v>299.01</v>
      </c>
      <c r="L390" s="243">
        <v>293.13</v>
      </c>
      <c r="M390" s="243">
        <v>299.01</v>
      </c>
      <c r="N390" s="243">
        <v>382877</v>
      </c>
      <c r="O390" s="243" t="s">
        <v>2577</v>
      </c>
      <c r="P390" s="151">
        <f t="shared" si="10"/>
        <v>-1.0066552958094999E-2</v>
      </c>
    </row>
    <row r="391" spans="2:43" ht="14.25" customHeight="1">
      <c r="B391" s="243">
        <v>513.35</v>
      </c>
      <c r="C391" s="243">
        <v>518.44000000000005</v>
      </c>
      <c r="D391" s="243">
        <v>512.77</v>
      </c>
      <c r="E391" s="243">
        <v>515.13</v>
      </c>
      <c r="F391" s="243">
        <v>5784483</v>
      </c>
      <c r="G391" s="243" t="s">
        <v>2578</v>
      </c>
      <c r="H391" s="151">
        <f t="shared" si="11"/>
        <v>-3.4554384330168775E-3</v>
      </c>
      <c r="J391" s="243">
        <v>291.82</v>
      </c>
      <c r="K391" s="243">
        <v>299.54989999999998</v>
      </c>
      <c r="L391" s="243">
        <v>289.01</v>
      </c>
      <c r="M391" s="243">
        <v>293.49</v>
      </c>
      <c r="N391" s="243">
        <v>679062</v>
      </c>
      <c r="O391" s="243" t="s">
        <v>2578</v>
      </c>
      <c r="P391" s="151">
        <f t="shared" si="10"/>
        <v>-5.6901427646598446E-3</v>
      </c>
    </row>
    <row r="392" spans="2:43" ht="14.25" customHeight="1">
      <c r="B392" s="243">
        <v>509.74</v>
      </c>
      <c r="C392" s="243">
        <v>511.5</v>
      </c>
      <c r="D392" s="243">
        <v>497.76</v>
      </c>
      <c r="E392" s="243">
        <v>503.26</v>
      </c>
      <c r="F392" s="243">
        <v>7873686</v>
      </c>
      <c r="G392" s="243" t="s">
        <v>2579</v>
      </c>
      <c r="H392" s="151">
        <f t="shared" si="11"/>
        <v>1.2876048165957998E-2</v>
      </c>
      <c r="J392" s="243">
        <v>292.83999999999997</v>
      </c>
      <c r="K392" s="243">
        <v>293.95499999999998</v>
      </c>
      <c r="L392" s="243">
        <v>288.27999999999997</v>
      </c>
      <c r="M392" s="243">
        <v>293.88</v>
      </c>
      <c r="N392" s="243">
        <v>520775</v>
      </c>
      <c r="O392" s="243" t="s">
        <v>2579</v>
      </c>
      <c r="P392" s="151">
        <f t="shared" si="10"/>
        <v>-3.5388593983939343E-3</v>
      </c>
    </row>
    <row r="393" spans="2:43" ht="14.25" customHeight="1">
      <c r="B393" s="243">
        <v>509.49</v>
      </c>
      <c r="C393" s="243">
        <v>510.54969999999997</v>
      </c>
      <c r="D393" s="243">
        <v>504.26</v>
      </c>
      <c r="E393" s="243">
        <v>504.54</v>
      </c>
      <c r="F393" s="243">
        <v>6525457</v>
      </c>
      <c r="G393" s="243" t="s">
        <v>692</v>
      </c>
      <c r="H393" s="151">
        <f t="shared" si="11"/>
        <v>9.810916874777087E-3</v>
      </c>
      <c r="J393" s="147">
        <v>296.91000000000003</v>
      </c>
      <c r="K393" s="147">
        <v>301.14999999999998</v>
      </c>
      <c r="L393" s="147">
        <v>293.32</v>
      </c>
      <c r="M393" s="147">
        <v>297.44</v>
      </c>
      <c r="N393" s="147">
        <v>572291</v>
      </c>
      <c r="O393" s="147" t="s">
        <v>692</v>
      </c>
      <c r="P393" s="151">
        <f t="shared" si="10"/>
        <v>-1.7818719741795608E-3</v>
      </c>
    </row>
    <row r="394" spans="2:43" ht="14.25" customHeight="1">
      <c r="B394" s="243">
        <v>506.42</v>
      </c>
      <c r="C394" s="243">
        <v>508.74</v>
      </c>
      <c r="D394" s="243">
        <v>500.96</v>
      </c>
      <c r="E394" s="243">
        <v>506.81</v>
      </c>
      <c r="F394" s="243">
        <v>4210016</v>
      </c>
      <c r="G394" s="243" t="s">
        <v>693</v>
      </c>
      <c r="H394" s="151">
        <f t="shared" ref="H394:H457" si="12">B394/E394-1</f>
        <v>-7.6951914918799158E-4</v>
      </c>
      <c r="J394" s="147">
        <v>297.32</v>
      </c>
      <c r="K394" s="147">
        <v>302.99</v>
      </c>
      <c r="L394" s="147">
        <v>293.92</v>
      </c>
      <c r="M394" s="147">
        <v>300</v>
      </c>
      <c r="N394" s="147">
        <v>489790</v>
      </c>
      <c r="O394" s="147" t="s">
        <v>693</v>
      </c>
      <c r="P394" s="151">
        <f t="shared" ref="P394:P424" si="13">J394/M394-1</f>
        <v>-8.9333333333333487E-3</v>
      </c>
    </row>
    <row r="395" spans="2:43" ht="14.25" customHeight="1">
      <c r="B395" s="243">
        <v>506.11</v>
      </c>
      <c r="C395" s="243">
        <v>506.52</v>
      </c>
      <c r="D395" s="243">
        <v>499.75</v>
      </c>
      <c r="E395" s="243">
        <v>502.44</v>
      </c>
      <c r="F395" s="243">
        <v>6933423</v>
      </c>
      <c r="G395" s="243" t="s">
        <v>688</v>
      </c>
      <c r="H395" s="151">
        <f t="shared" si="12"/>
        <v>7.3043547488258476E-3</v>
      </c>
      <c r="J395" s="147">
        <v>299.77999999999997</v>
      </c>
      <c r="K395" s="147">
        <v>305.74299999999999</v>
      </c>
      <c r="L395" s="147">
        <v>292.93939999999998</v>
      </c>
      <c r="M395" s="147">
        <v>300</v>
      </c>
      <c r="N395" s="147">
        <v>606068</v>
      </c>
      <c r="O395" s="147" t="s">
        <v>688</v>
      </c>
      <c r="P395" s="151">
        <f t="shared" si="13"/>
        <v>-7.3333333333347461E-4</v>
      </c>
    </row>
    <row r="396" spans="2:43" ht="14.25" customHeight="1">
      <c r="B396" s="243">
        <v>502.41</v>
      </c>
      <c r="C396" s="243">
        <v>503</v>
      </c>
      <c r="D396" s="243">
        <v>492.22309999999999</v>
      </c>
      <c r="E396" s="243">
        <v>493.26</v>
      </c>
      <c r="F396" s="243">
        <v>6184333</v>
      </c>
      <c r="G396" s="243" t="s">
        <v>687</v>
      </c>
      <c r="H396" s="151">
        <f t="shared" si="12"/>
        <v>1.8550054737866528E-2</v>
      </c>
      <c r="J396" s="147">
        <v>298.25</v>
      </c>
      <c r="K396" s="147">
        <v>300.60449999999997</v>
      </c>
      <c r="L396" s="147">
        <v>273.91340000000002</v>
      </c>
      <c r="M396" s="147">
        <v>300</v>
      </c>
      <c r="N396" s="147">
        <v>1574699</v>
      </c>
      <c r="O396" s="147" t="s">
        <v>687</v>
      </c>
      <c r="P396" s="151">
        <f t="shared" si="13"/>
        <v>-5.833333333333357E-3</v>
      </c>
    </row>
    <row r="397" spans="2:43" ht="14.25" customHeight="1">
      <c r="B397" s="243">
        <v>492.07</v>
      </c>
      <c r="C397" s="243">
        <v>501.18</v>
      </c>
      <c r="D397" s="243">
        <v>490.7</v>
      </c>
      <c r="E397" s="243">
        <v>496.69</v>
      </c>
      <c r="F397" s="243">
        <v>8047601</v>
      </c>
      <c r="G397" s="243" t="s">
        <v>686</v>
      </c>
      <c r="H397" s="151">
        <f t="shared" si="12"/>
        <v>-9.3015764360063757E-3</v>
      </c>
      <c r="J397" s="147">
        <v>278.77</v>
      </c>
      <c r="K397" s="147">
        <v>285.64999999999998</v>
      </c>
      <c r="L397" s="147">
        <v>275.7201</v>
      </c>
      <c r="M397" s="147">
        <v>282.74</v>
      </c>
      <c r="N397" s="147">
        <v>834790</v>
      </c>
      <c r="O397" s="147" t="s">
        <v>686</v>
      </c>
      <c r="P397" s="151">
        <f t="shared" si="13"/>
        <v>-1.4041168564759232E-2</v>
      </c>
      <c r="AO397" s="2" t="s">
        <v>1980</v>
      </c>
    </row>
    <row r="398" spans="2:43" ht="14.25" customHeight="1">
      <c r="B398" s="243">
        <v>484.29</v>
      </c>
      <c r="C398" s="243">
        <v>486.48</v>
      </c>
      <c r="D398" s="243">
        <v>477.19</v>
      </c>
      <c r="E398" s="243">
        <v>478.07</v>
      </c>
      <c r="F398" s="243">
        <v>6236319</v>
      </c>
      <c r="G398" s="243" t="s">
        <v>685</v>
      </c>
      <c r="H398" s="151">
        <f t="shared" si="12"/>
        <v>1.301064697638421E-2</v>
      </c>
      <c r="J398" s="147">
        <v>277.22000000000003</v>
      </c>
      <c r="K398" s="147">
        <v>277.22000000000003</v>
      </c>
      <c r="L398" s="147">
        <v>270.02</v>
      </c>
      <c r="M398" s="147">
        <v>274</v>
      </c>
      <c r="N398" s="147">
        <v>728380</v>
      </c>
      <c r="O398" s="147" t="s">
        <v>685</v>
      </c>
      <c r="P398" s="151">
        <f t="shared" si="13"/>
        <v>1.1751824817518353E-2</v>
      </c>
      <c r="AP398" s="2" t="s">
        <v>1986</v>
      </c>
    </row>
    <row r="399" spans="2:43" ht="14.25" customHeight="1">
      <c r="B399" s="243">
        <v>472.37</v>
      </c>
      <c r="C399" s="243">
        <v>479.49</v>
      </c>
      <c r="D399" s="243">
        <v>467.33</v>
      </c>
      <c r="E399" s="243">
        <v>479.02</v>
      </c>
      <c r="F399" s="243">
        <v>7762501</v>
      </c>
      <c r="G399" s="243" t="s">
        <v>684</v>
      </c>
      <c r="H399" s="151">
        <f t="shared" si="12"/>
        <v>-1.388251012483821E-2</v>
      </c>
      <c r="J399" s="147">
        <v>270.64</v>
      </c>
      <c r="K399" s="147">
        <v>278.58999999999997</v>
      </c>
      <c r="L399" s="147">
        <v>268.14999999999998</v>
      </c>
      <c r="M399" s="147">
        <v>277</v>
      </c>
      <c r="N399" s="147">
        <v>502045</v>
      </c>
      <c r="O399" s="147" t="s">
        <v>684</v>
      </c>
      <c r="P399" s="151">
        <f t="shared" si="13"/>
        <v>-2.2960288808664298E-2</v>
      </c>
      <c r="AP399" s="2" t="s">
        <v>615</v>
      </c>
    </row>
    <row r="400" spans="2:43" ht="14.25" customHeight="1">
      <c r="B400" s="243">
        <v>483.9</v>
      </c>
      <c r="C400" s="243">
        <v>488.16</v>
      </c>
      <c r="D400" s="243">
        <v>481.5</v>
      </c>
      <c r="E400" s="243">
        <v>484.79</v>
      </c>
      <c r="F400" s="243">
        <v>5638939</v>
      </c>
      <c r="G400" s="243" t="s">
        <v>683</v>
      </c>
      <c r="H400" s="151">
        <f t="shared" si="12"/>
        <v>-1.8358464489780513E-3</v>
      </c>
      <c r="J400" s="147">
        <v>277.35000000000002</v>
      </c>
      <c r="K400" s="147">
        <v>280.77</v>
      </c>
      <c r="L400" s="147">
        <v>273.03469999999999</v>
      </c>
      <c r="M400" s="147">
        <v>277.5</v>
      </c>
      <c r="N400" s="147">
        <v>326830</v>
      </c>
      <c r="O400" s="147" t="s">
        <v>683</v>
      </c>
      <c r="P400" s="151">
        <f t="shared" si="13"/>
        <v>-5.40540540540424E-4</v>
      </c>
      <c r="AQ400" s="2" t="s">
        <v>593</v>
      </c>
    </row>
    <row r="401" spans="2:82" ht="14.25" customHeight="1">
      <c r="B401" s="243">
        <v>483.23</v>
      </c>
      <c r="C401" s="243">
        <v>491.76499999999999</v>
      </c>
      <c r="D401" s="243">
        <v>478.23</v>
      </c>
      <c r="E401" s="243">
        <v>488.65</v>
      </c>
      <c r="F401" s="243">
        <v>6374869</v>
      </c>
      <c r="G401" s="243" t="s">
        <v>682</v>
      </c>
      <c r="H401" s="151">
        <f t="shared" si="12"/>
        <v>-1.1091783485111972E-2</v>
      </c>
      <c r="J401" s="147">
        <v>277.79000000000002</v>
      </c>
      <c r="K401" s="147">
        <v>278.74</v>
      </c>
      <c r="L401" s="147">
        <v>271.13</v>
      </c>
      <c r="M401" s="147">
        <v>272.01</v>
      </c>
      <c r="N401" s="147">
        <v>433558</v>
      </c>
      <c r="O401" s="147" t="s">
        <v>682</v>
      </c>
      <c r="P401" s="151">
        <f t="shared" si="13"/>
        <v>2.1249218778721435E-2</v>
      </c>
      <c r="AR401" s="1" t="s">
        <v>1572</v>
      </c>
    </row>
    <row r="402" spans="2:82" ht="14.25" customHeight="1">
      <c r="B402" s="243">
        <v>494.09</v>
      </c>
      <c r="C402" s="243">
        <v>499.27</v>
      </c>
      <c r="D402" s="243">
        <v>493.42</v>
      </c>
      <c r="E402" s="243">
        <v>496.03</v>
      </c>
      <c r="F402" s="243">
        <v>8200583</v>
      </c>
      <c r="G402" s="243" t="s">
        <v>681</v>
      </c>
      <c r="H402" s="151">
        <f t="shared" si="12"/>
        <v>-3.911053766909256E-3</v>
      </c>
      <c r="J402" s="147">
        <v>272.26</v>
      </c>
      <c r="K402" s="147">
        <v>275</v>
      </c>
      <c r="L402" s="147">
        <v>269.58999999999997</v>
      </c>
      <c r="M402" s="147">
        <v>271.20999999999998</v>
      </c>
      <c r="N402" s="147">
        <v>343522</v>
      </c>
      <c r="O402" s="147" t="s">
        <v>681</v>
      </c>
      <c r="P402" s="151">
        <f t="shared" si="13"/>
        <v>3.8715386600789436E-3</v>
      </c>
      <c r="AP402" s="2" t="s">
        <v>1993</v>
      </c>
    </row>
    <row r="403" spans="2:82" ht="14.25" customHeight="1">
      <c r="B403" s="243">
        <v>495.48</v>
      </c>
      <c r="C403" s="243">
        <v>500.26</v>
      </c>
      <c r="D403" s="243">
        <v>490.69</v>
      </c>
      <c r="E403" s="243">
        <v>500.05</v>
      </c>
      <c r="F403" s="243">
        <v>7701488</v>
      </c>
      <c r="G403" s="243" t="s">
        <v>680</v>
      </c>
      <c r="H403" s="151">
        <f t="shared" si="12"/>
        <v>-9.1390860913908023E-3</v>
      </c>
      <c r="J403" s="147">
        <v>270.27</v>
      </c>
      <c r="K403" s="147">
        <v>278.39</v>
      </c>
      <c r="L403" s="147">
        <v>266.75</v>
      </c>
      <c r="M403" s="147">
        <v>278.39</v>
      </c>
      <c r="N403" s="147">
        <v>394203</v>
      </c>
      <c r="O403" s="147" t="s">
        <v>680</v>
      </c>
      <c r="P403" s="151">
        <f t="shared" si="13"/>
        <v>-2.9167714357555941E-2</v>
      </c>
      <c r="AQ403" s="284" t="s">
        <v>1955</v>
      </c>
      <c r="AR403" s="284"/>
      <c r="AS403" s="284"/>
      <c r="AT403" s="284"/>
      <c r="AU403" s="284"/>
      <c r="AV403" s="284"/>
      <c r="AW403" s="284"/>
      <c r="AX403" s="284"/>
      <c r="AY403" s="284"/>
      <c r="AZ403" s="284"/>
      <c r="BA403" s="284"/>
      <c r="BB403" s="284"/>
      <c r="BC403" s="284"/>
      <c r="BD403" s="284"/>
      <c r="BE403" s="284"/>
      <c r="BF403" s="284"/>
      <c r="BG403" s="284"/>
      <c r="BH403" s="284"/>
      <c r="BI403" s="284"/>
      <c r="BJ403" s="284"/>
      <c r="BK403" s="284"/>
      <c r="BL403" s="284"/>
      <c r="BM403" s="284"/>
      <c r="BN403" s="284"/>
      <c r="BO403" s="284"/>
      <c r="BP403" s="284"/>
      <c r="BQ403" s="284"/>
      <c r="BR403" s="284"/>
      <c r="BS403" s="284"/>
      <c r="BT403" s="284"/>
      <c r="BU403" s="284"/>
      <c r="BV403" s="13"/>
      <c r="BW403" s="13"/>
      <c r="BX403" s="13"/>
      <c r="BY403" s="13"/>
      <c r="BZ403" s="13"/>
      <c r="CA403" s="13"/>
      <c r="CB403" s="13"/>
      <c r="CC403" s="13"/>
      <c r="CD403" s="13"/>
    </row>
    <row r="404" spans="2:82" ht="14.25" customHeight="1">
      <c r="B404" s="243">
        <v>490.55</v>
      </c>
      <c r="C404" s="243">
        <v>493</v>
      </c>
      <c r="D404" s="243">
        <v>478</v>
      </c>
      <c r="E404" s="243">
        <v>480.69</v>
      </c>
      <c r="F404" s="243">
        <v>11541195</v>
      </c>
      <c r="G404" s="243" t="s">
        <v>679</v>
      </c>
      <c r="H404" s="151">
        <f t="shared" si="12"/>
        <v>2.051218040733116E-2</v>
      </c>
      <c r="J404" s="147">
        <v>272.32</v>
      </c>
      <c r="K404" s="147">
        <v>277.25</v>
      </c>
      <c r="L404" s="147">
        <v>264.45499999999998</v>
      </c>
      <c r="M404" s="147">
        <v>269.60000000000002</v>
      </c>
      <c r="N404" s="147">
        <v>388806</v>
      </c>
      <c r="O404" s="147" t="s">
        <v>679</v>
      </c>
      <c r="P404" s="151">
        <f t="shared" si="13"/>
        <v>1.0089020771513191E-2</v>
      </c>
      <c r="AQ404" s="284"/>
      <c r="AR404" s="284"/>
      <c r="AS404" s="284"/>
      <c r="AT404" s="284"/>
      <c r="AU404" s="284"/>
      <c r="AV404" s="284"/>
      <c r="AW404" s="284"/>
      <c r="AX404" s="284"/>
      <c r="AY404" s="284"/>
      <c r="AZ404" s="284"/>
      <c r="BA404" s="284"/>
      <c r="BB404" s="284"/>
      <c r="BC404" s="284"/>
      <c r="BD404" s="284"/>
      <c r="BE404" s="284"/>
      <c r="BF404" s="284"/>
      <c r="BG404" s="284"/>
      <c r="BH404" s="284"/>
      <c r="BI404" s="284"/>
      <c r="BJ404" s="284"/>
      <c r="BK404" s="284"/>
      <c r="BL404" s="284"/>
      <c r="BM404" s="284"/>
      <c r="BN404" s="284"/>
      <c r="BO404" s="284"/>
      <c r="BP404" s="284"/>
      <c r="BQ404" s="284"/>
      <c r="BR404" s="284"/>
      <c r="BS404" s="284"/>
      <c r="BT404" s="284"/>
      <c r="BU404" s="284"/>
      <c r="BV404" s="13"/>
      <c r="BW404" s="13"/>
      <c r="BX404" s="13"/>
      <c r="BY404" s="13"/>
      <c r="BZ404" s="13"/>
      <c r="CA404" s="13"/>
      <c r="CB404" s="13"/>
      <c r="CC404" s="13"/>
      <c r="CD404" s="13"/>
    </row>
    <row r="405" spans="2:82" ht="14.25" customHeight="1">
      <c r="B405" s="243">
        <v>482.06</v>
      </c>
      <c r="C405" s="243">
        <v>490.3</v>
      </c>
      <c r="D405" s="243">
        <v>468.33</v>
      </c>
      <c r="E405" s="243">
        <v>489.15</v>
      </c>
      <c r="F405" s="243">
        <v>16651303</v>
      </c>
      <c r="G405" s="243" t="s">
        <v>678</v>
      </c>
      <c r="H405" s="151">
        <f t="shared" si="12"/>
        <v>-1.4494531329857896E-2</v>
      </c>
      <c r="J405" s="147">
        <v>268.57</v>
      </c>
      <c r="K405" s="147">
        <v>275.38</v>
      </c>
      <c r="L405" s="147">
        <v>261.52</v>
      </c>
      <c r="M405" s="147">
        <v>271.45999999999998</v>
      </c>
      <c r="N405" s="147">
        <v>509513</v>
      </c>
      <c r="O405" s="147" t="s">
        <v>678</v>
      </c>
      <c r="P405" s="151">
        <f t="shared" si="13"/>
        <v>-1.0646135710601912E-2</v>
      </c>
      <c r="AO405" s="2" t="s">
        <v>1504</v>
      </c>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row>
    <row r="406" spans="2:82" ht="14.25" customHeight="1">
      <c r="B406" s="243">
        <v>499.1</v>
      </c>
      <c r="C406" s="243">
        <v>502.06119999999999</v>
      </c>
      <c r="D406" s="243">
        <v>453.16</v>
      </c>
      <c r="E406" s="243">
        <v>453.49</v>
      </c>
      <c r="F406" s="243">
        <v>29286594</v>
      </c>
      <c r="G406" s="243" t="s">
        <v>677</v>
      </c>
      <c r="H406" s="151">
        <f t="shared" si="12"/>
        <v>0.10057553639551031</v>
      </c>
      <c r="J406" s="147">
        <v>275.45999999999998</v>
      </c>
      <c r="K406" s="147">
        <v>279.06</v>
      </c>
      <c r="L406" s="147">
        <v>253.27</v>
      </c>
      <c r="M406" s="147">
        <v>253.27</v>
      </c>
      <c r="N406" s="147">
        <v>685564</v>
      </c>
      <c r="O406" s="147" t="s">
        <v>677</v>
      </c>
      <c r="P406" s="151">
        <f t="shared" si="13"/>
        <v>8.7614008765349194E-2</v>
      </c>
      <c r="AP406" s="2" t="s">
        <v>1956</v>
      </c>
    </row>
    <row r="407" spans="2:82" ht="14.25" customHeight="1">
      <c r="B407" s="243">
        <v>456.74</v>
      </c>
      <c r="C407" s="243">
        <v>482.49</v>
      </c>
      <c r="D407" s="243">
        <v>449.6</v>
      </c>
      <c r="E407" s="243">
        <v>479.68</v>
      </c>
      <c r="F407" s="243">
        <v>19002684</v>
      </c>
      <c r="G407" s="243" t="s">
        <v>676</v>
      </c>
      <c r="H407" s="151">
        <f t="shared" si="12"/>
        <v>-4.7823549032688484E-2</v>
      </c>
      <c r="J407" s="147">
        <v>255.82</v>
      </c>
      <c r="K407" s="147">
        <v>274.47879999999998</v>
      </c>
      <c r="L407" s="147">
        <v>254.49</v>
      </c>
      <c r="M407" s="147">
        <v>270</v>
      </c>
      <c r="N407" s="147">
        <v>434838</v>
      </c>
      <c r="O407" s="147" t="s">
        <v>676</v>
      </c>
      <c r="P407" s="151">
        <f t="shared" si="13"/>
        <v>-5.251851851851852E-2</v>
      </c>
      <c r="AO407" s="2" t="s">
        <v>562</v>
      </c>
    </row>
    <row r="408" spans="2:82" ht="14.25" customHeight="1">
      <c r="B408" s="243">
        <v>463.56</v>
      </c>
      <c r="C408" s="243">
        <v>480.76</v>
      </c>
      <c r="D408" s="243">
        <v>442.8</v>
      </c>
      <c r="E408" s="243">
        <v>449.54</v>
      </c>
      <c r="F408" s="243">
        <v>31285267</v>
      </c>
      <c r="G408" s="243" t="s">
        <v>675</v>
      </c>
      <c r="H408" s="151">
        <f t="shared" si="12"/>
        <v>3.1187436045735595E-2</v>
      </c>
      <c r="J408" s="147">
        <v>263.49</v>
      </c>
      <c r="K408" s="147">
        <v>275.8</v>
      </c>
      <c r="L408" s="147">
        <v>246.45</v>
      </c>
      <c r="M408" s="147">
        <v>252</v>
      </c>
      <c r="N408" s="147">
        <v>501999</v>
      </c>
      <c r="O408" s="147" t="s">
        <v>675</v>
      </c>
      <c r="P408" s="151">
        <f t="shared" si="13"/>
        <v>4.5595238095238022E-2</v>
      </c>
      <c r="AP408" s="2" t="s">
        <v>594</v>
      </c>
    </row>
    <row r="409" spans="2:82" ht="14.25" customHeight="1">
      <c r="B409" s="243">
        <v>465.52</v>
      </c>
      <c r="C409" s="243">
        <v>483.3</v>
      </c>
      <c r="D409" s="243">
        <v>464.24</v>
      </c>
      <c r="E409" s="243">
        <v>481.28</v>
      </c>
      <c r="F409" s="243">
        <v>30966508</v>
      </c>
      <c r="G409" s="243" t="s">
        <v>674</v>
      </c>
      <c r="H409" s="151">
        <f t="shared" si="12"/>
        <v>-3.2746010638297851E-2</v>
      </c>
      <c r="J409" s="147">
        <v>262.27999999999997</v>
      </c>
      <c r="K409" s="147">
        <v>267.46499999999997</v>
      </c>
      <c r="L409" s="147">
        <v>255</v>
      </c>
      <c r="M409" s="147">
        <v>263.38</v>
      </c>
      <c r="N409" s="147">
        <v>576802</v>
      </c>
      <c r="O409" s="147" t="s">
        <v>674</v>
      </c>
      <c r="P409" s="151">
        <f t="shared" si="13"/>
        <v>-4.1764750550535856E-3</v>
      </c>
      <c r="AP409" s="2" t="s">
        <v>1994</v>
      </c>
    </row>
    <row r="410" spans="2:82" ht="14.25" customHeight="1">
      <c r="B410" s="243">
        <v>494.16</v>
      </c>
      <c r="C410" s="243">
        <v>503.66</v>
      </c>
      <c r="D410" s="243">
        <v>493.5</v>
      </c>
      <c r="E410" s="243">
        <v>501</v>
      </c>
      <c r="F410" s="243">
        <v>16226023</v>
      </c>
      <c r="G410" s="243" t="s">
        <v>673</v>
      </c>
      <c r="H410" s="151">
        <f t="shared" si="12"/>
        <v>-1.3652694610778449E-2</v>
      </c>
      <c r="J410" s="147">
        <v>273.24</v>
      </c>
      <c r="K410" s="147">
        <v>278.7</v>
      </c>
      <c r="L410" s="147">
        <v>265.05</v>
      </c>
      <c r="M410" s="147">
        <v>265.05</v>
      </c>
      <c r="N410" s="147">
        <v>542229</v>
      </c>
      <c r="O410" s="147" t="s">
        <v>673</v>
      </c>
      <c r="P410" s="151">
        <f t="shared" si="13"/>
        <v>3.0899830220713076E-2</v>
      </c>
      <c r="AO410" s="2" t="s">
        <v>595</v>
      </c>
    </row>
    <row r="411" spans="2:82" ht="14.25" customHeight="1">
      <c r="B411" s="243">
        <v>518.91</v>
      </c>
      <c r="C411" s="243">
        <v>521.49</v>
      </c>
      <c r="D411" s="243">
        <v>509.9298</v>
      </c>
      <c r="E411" s="243">
        <v>510.14</v>
      </c>
      <c r="F411" s="243">
        <v>6308643</v>
      </c>
      <c r="G411" s="243" t="s">
        <v>672</v>
      </c>
      <c r="H411" s="151">
        <f t="shared" si="12"/>
        <v>1.7191359234719927E-2</v>
      </c>
      <c r="J411" s="147">
        <v>277.35000000000002</v>
      </c>
      <c r="K411" s="147">
        <v>279.79000000000002</v>
      </c>
      <c r="L411" s="147">
        <v>265.76</v>
      </c>
      <c r="M411" s="147">
        <v>266.93</v>
      </c>
      <c r="N411" s="147">
        <v>361870</v>
      </c>
      <c r="O411" s="147" t="s">
        <v>672</v>
      </c>
      <c r="P411" s="151">
        <f t="shared" si="13"/>
        <v>3.9036451504139702E-2</v>
      </c>
      <c r="AP411" s="2" t="s">
        <v>1995</v>
      </c>
    </row>
    <row r="412" spans="2:82" ht="14.25" customHeight="1">
      <c r="B412" s="243">
        <v>515.79999999999995</v>
      </c>
      <c r="C412" s="243">
        <v>517.35</v>
      </c>
      <c r="D412" s="243">
        <v>508.88</v>
      </c>
      <c r="E412" s="243">
        <v>512.36</v>
      </c>
      <c r="F412" s="243">
        <v>7697017</v>
      </c>
      <c r="G412" s="243" t="s">
        <v>671</v>
      </c>
      <c r="H412" s="151">
        <f t="shared" si="12"/>
        <v>6.7140291982199507E-3</v>
      </c>
      <c r="J412" s="147">
        <v>271.13</v>
      </c>
      <c r="K412" s="147">
        <v>272.77999999999997</v>
      </c>
      <c r="L412" s="147">
        <v>264.67</v>
      </c>
      <c r="M412" s="147">
        <v>267.17</v>
      </c>
      <c r="N412" s="147">
        <v>411680</v>
      </c>
      <c r="O412" s="147" t="s">
        <v>671</v>
      </c>
      <c r="P412" s="151">
        <f t="shared" si="13"/>
        <v>1.4822023430774323E-2</v>
      </c>
      <c r="AP412" s="2" t="s">
        <v>564</v>
      </c>
    </row>
    <row r="413" spans="2:82" ht="14.25" customHeight="1">
      <c r="B413" s="243">
        <v>513.91</v>
      </c>
      <c r="C413" s="243">
        <v>515.33000000000004</v>
      </c>
      <c r="D413" s="243">
        <v>502.64</v>
      </c>
      <c r="E413" s="243">
        <v>505.31</v>
      </c>
      <c r="F413" s="243">
        <v>8196668</v>
      </c>
      <c r="G413" s="243" t="s">
        <v>670</v>
      </c>
      <c r="H413" s="151">
        <f t="shared" si="12"/>
        <v>1.7019255506520725E-2</v>
      </c>
      <c r="J413" s="147">
        <v>267.41000000000003</v>
      </c>
      <c r="K413" s="147">
        <v>273.8</v>
      </c>
      <c r="L413" s="147">
        <v>258.95</v>
      </c>
      <c r="M413" s="147">
        <v>264.58</v>
      </c>
      <c r="N413" s="147">
        <v>370000</v>
      </c>
      <c r="O413" s="147" t="s">
        <v>670</v>
      </c>
      <c r="P413" s="151">
        <f t="shared" si="13"/>
        <v>1.0696197747373404E-2</v>
      </c>
      <c r="AQ413" s="2" t="s">
        <v>1996</v>
      </c>
    </row>
    <row r="414" spans="2:82" ht="14.25" customHeight="1">
      <c r="B414" s="243">
        <v>510.8</v>
      </c>
      <c r="C414" s="243">
        <v>520.46</v>
      </c>
      <c r="D414" s="243">
        <v>510.16</v>
      </c>
      <c r="E414" s="243">
        <v>519.76</v>
      </c>
      <c r="F414" s="243">
        <v>5831793</v>
      </c>
      <c r="G414" s="243" t="s">
        <v>256</v>
      </c>
      <c r="H414" s="151">
        <f t="shared" si="12"/>
        <v>-1.7238725565645652E-2</v>
      </c>
      <c r="J414" s="147">
        <v>267.56</v>
      </c>
      <c r="K414" s="147">
        <v>269.59500000000003</v>
      </c>
      <c r="L414" s="147">
        <v>264.45</v>
      </c>
      <c r="M414" s="147">
        <v>267.70999999999998</v>
      </c>
      <c r="N414" s="147">
        <v>304934</v>
      </c>
      <c r="O414" s="147" t="s">
        <v>256</v>
      </c>
      <c r="P414" s="151">
        <f t="shared" si="13"/>
        <v>-5.6030779574900436E-4</v>
      </c>
      <c r="AQ414" s="2" t="s">
        <v>563</v>
      </c>
    </row>
    <row r="415" spans="2:82" ht="14.25" customHeight="1">
      <c r="B415" s="243">
        <v>521.21</v>
      </c>
      <c r="C415" s="243">
        <v>524.678</v>
      </c>
      <c r="D415" s="243">
        <v>519.23</v>
      </c>
      <c r="E415" s="243">
        <v>521.29</v>
      </c>
      <c r="F415" s="243">
        <v>5534928</v>
      </c>
      <c r="G415" s="243" t="s">
        <v>255</v>
      </c>
      <c r="H415" s="151">
        <f t="shared" si="12"/>
        <v>-1.5346544150074415E-4</v>
      </c>
      <c r="J415" s="147">
        <v>269.62</v>
      </c>
      <c r="K415" s="147">
        <v>275.02999999999997</v>
      </c>
      <c r="L415" s="147">
        <v>267.77</v>
      </c>
      <c r="M415" s="147">
        <v>274.44</v>
      </c>
      <c r="N415" s="147">
        <v>471362</v>
      </c>
      <c r="O415" s="147" t="s">
        <v>255</v>
      </c>
      <c r="P415" s="151">
        <f t="shared" si="13"/>
        <v>-1.7563037458096509E-2</v>
      </c>
      <c r="AO415" s="1" t="s">
        <v>2328</v>
      </c>
    </row>
    <row r="416" spans="2:82" ht="14.25" customHeight="1">
      <c r="B416" s="243">
        <v>522.64789999999982</v>
      </c>
      <c r="C416" s="243">
        <v>529.57388654806823</v>
      </c>
      <c r="D416" s="243">
        <v>521.2925990351979</v>
      </c>
      <c r="E416" s="243">
        <v>528.72682344506711</v>
      </c>
      <c r="F416" s="243">
        <v>4444984.1890879134</v>
      </c>
      <c r="G416" s="243" t="s">
        <v>254</v>
      </c>
      <c r="H416" s="151">
        <f t="shared" si="12"/>
        <v>-1.1497285886610364E-2</v>
      </c>
      <c r="J416" s="147">
        <v>275.14999999999998</v>
      </c>
      <c r="K416" s="147">
        <v>282.33999999999997</v>
      </c>
      <c r="L416" s="147">
        <v>272.98</v>
      </c>
      <c r="M416" s="147">
        <v>282.33999999999997</v>
      </c>
      <c r="N416" s="147">
        <v>433245</v>
      </c>
      <c r="O416" s="147" t="s">
        <v>254</v>
      </c>
      <c r="P416" s="151">
        <f t="shared" si="13"/>
        <v>-2.5465750513565144E-2</v>
      </c>
      <c r="AP416" s="2" t="s">
        <v>1968</v>
      </c>
    </row>
    <row r="417" spans="2:43" ht="14.25" customHeight="1">
      <c r="B417" s="243">
        <v>528.81651247950253</v>
      </c>
      <c r="C417" s="243">
        <v>529.76323006520977</v>
      </c>
      <c r="D417" s="243">
        <v>527.28183344582988</v>
      </c>
      <c r="E417" s="243">
        <v>528.75671978987896</v>
      </c>
      <c r="F417" s="243">
        <v>6281904.064935497</v>
      </c>
      <c r="G417" s="243" t="s">
        <v>253</v>
      </c>
      <c r="H417" s="151">
        <f t="shared" si="12"/>
        <v>1.1308166380818996E-4</v>
      </c>
      <c r="J417" s="147">
        <v>283.42</v>
      </c>
      <c r="K417" s="147">
        <v>288.56990000000002</v>
      </c>
      <c r="L417" s="147">
        <v>280.45</v>
      </c>
      <c r="M417" s="147">
        <v>286.88</v>
      </c>
      <c r="N417" s="147">
        <v>542655</v>
      </c>
      <c r="O417" s="147" t="s">
        <v>253</v>
      </c>
      <c r="P417" s="151">
        <f t="shared" si="13"/>
        <v>-1.2060791968767304E-2</v>
      </c>
      <c r="AQ417" s="2" t="s">
        <v>2329</v>
      </c>
    </row>
    <row r="418" spans="2:43" ht="14.25" customHeight="1">
      <c r="B418" s="243">
        <v>527.56086599740661</v>
      </c>
      <c r="C418" s="243">
        <v>528.55741082446684</v>
      </c>
      <c r="D418" s="243">
        <v>524.06299365442533</v>
      </c>
      <c r="E418" s="243">
        <v>524.66092055066144</v>
      </c>
      <c r="F418" s="243">
        <v>22453848.931221198</v>
      </c>
      <c r="G418" s="243" t="s">
        <v>252</v>
      </c>
      <c r="H418" s="151">
        <f t="shared" si="12"/>
        <v>5.5272754900470566E-3</v>
      </c>
      <c r="J418" s="147">
        <v>286.23</v>
      </c>
      <c r="K418" s="147">
        <v>287.70999999999998</v>
      </c>
      <c r="L418" s="147">
        <v>282.43</v>
      </c>
      <c r="M418" s="147">
        <v>285.02</v>
      </c>
      <c r="N418" s="147">
        <v>259517</v>
      </c>
      <c r="O418" s="147" t="s">
        <v>252</v>
      </c>
      <c r="P418" s="151">
        <f t="shared" si="13"/>
        <v>4.2453161181672527E-3</v>
      </c>
    </row>
    <row r="419" spans="2:43" ht="14.25" customHeight="1">
      <c r="B419" s="243">
        <v>518.46241172634689</v>
      </c>
      <c r="C419" s="243">
        <v>519.15002765701854</v>
      </c>
      <c r="D419" s="243">
        <v>512.87677797067442</v>
      </c>
      <c r="E419" s="243">
        <v>514.00785634938768</v>
      </c>
      <c r="F419" s="243">
        <v>5076551.3628965141</v>
      </c>
      <c r="G419" s="243" t="s">
        <v>251</v>
      </c>
      <c r="H419" s="151">
        <f t="shared" si="12"/>
        <v>8.666317687431091E-3</v>
      </c>
      <c r="J419" s="147">
        <v>280.38</v>
      </c>
      <c r="K419" s="147">
        <v>282.08</v>
      </c>
      <c r="L419" s="147">
        <v>273</v>
      </c>
      <c r="M419" s="147">
        <v>277.98</v>
      </c>
      <c r="N419" s="147">
        <v>737372</v>
      </c>
      <c r="O419" s="147" t="s">
        <v>251</v>
      </c>
      <c r="P419" s="151">
        <f t="shared" si="13"/>
        <v>8.6337146557304845E-3</v>
      </c>
    </row>
    <row r="420" spans="2:43" ht="14.25" customHeight="1">
      <c r="B420" s="243">
        <v>518.33286089882904</v>
      </c>
      <c r="C420" s="243">
        <v>522.80236444819411</v>
      </c>
      <c r="D420" s="243">
        <v>515.53256993478999</v>
      </c>
      <c r="E420" s="243">
        <v>516.17035862410842</v>
      </c>
      <c r="F420" s="243">
        <v>6050643.0180241829</v>
      </c>
      <c r="G420" s="243" t="s">
        <v>250</v>
      </c>
      <c r="H420" s="151">
        <f t="shared" si="12"/>
        <v>4.1895127036835067E-3</v>
      </c>
      <c r="J420" s="147">
        <v>281.33</v>
      </c>
      <c r="K420" s="147">
        <v>283.40499999999997</v>
      </c>
      <c r="L420" s="147">
        <v>276.31</v>
      </c>
      <c r="M420" s="147">
        <v>276.31</v>
      </c>
      <c r="N420" s="147">
        <v>353789</v>
      </c>
      <c r="O420" s="147" t="s">
        <v>250</v>
      </c>
      <c r="P420" s="151">
        <f t="shared" si="13"/>
        <v>1.8167999710470006E-2</v>
      </c>
    </row>
    <row r="421" spans="2:43" ht="14.25" customHeight="1">
      <c r="B421" s="243">
        <v>519.52871469130139</v>
      </c>
      <c r="C421" s="243">
        <v>523.14617241352994</v>
      </c>
      <c r="D421" s="243">
        <v>514.63478270009125</v>
      </c>
      <c r="E421" s="243">
        <v>515.75180979674315</v>
      </c>
      <c r="F421" s="243">
        <v>5392581.3009867659</v>
      </c>
      <c r="G421" s="243" t="s">
        <v>249</v>
      </c>
      <c r="H421" s="151">
        <f t="shared" si="12"/>
        <v>7.3231054604474544E-3</v>
      </c>
      <c r="J421" s="147">
        <v>279.48</v>
      </c>
      <c r="K421" s="147">
        <v>281.16000000000003</v>
      </c>
      <c r="L421" s="147">
        <v>271.07</v>
      </c>
      <c r="M421" s="147">
        <v>276.07</v>
      </c>
      <c r="N421" s="147">
        <v>532310</v>
      </c>
      <c r="O421" s="147" t="s">
        <v>249</v>
      </c>
      <c r="P421" s="151">
        <f t="shared" si="13"/>
        <v>1.2351939725432137E-2</v>
      </c>
    </row>
    <row r="422" spans="2:43" ht="14.25" customHeight="1">
      <c r="B422" s="243">
        <v>514.12744172863495</v>
      </c>
      <c r="C422" s="243">
        <v>517.72496855432234</v>
      </c>
      <c r="D422" s="243">
        <v>512.29459648270586</v>
      </c>
      <c r="E422" s="243">
        <v>517.52565958891034</v>
      </c>
      <c r="F422" s="243">
        <v>6031437.6601914996</v>
      </c>
      <c r="G422" s="243" t="s">
        <v>248</v>
      </c>
      <c r="H422" s="151">
        <f t="shared" si="12"/>
        <v>-6.5662789802050092E-3</v>
      </c>
      <c r="J422" s="147">
        <v>275.29000000000002</v>
      </c>
      <c r="K422" s="147">
        <v>276.685</v>
      </c>
      <c r="L422" s="147">
        <v>272.45999999999998</v>
      </c>
      <c r="M422" s="147">
        <v>275.12</v>
      </c>
      <c r="N422" s="147">
        <v>431903</v>
      </c>
      <c r="O422" s="147" t="s">
        <v>248</v>
      </c>
      <c r="P422" s="151">
        <f t="shared" si="13"/>
        <v>6.1791218377438284E-4</v>
      </c>
    </row>
    <row r="423" spans="2:43" ht="14.25" customHeight="1">
      <c r="B423" s="243">
        <v>519.60843827746612</v>
      </c>
      <c r="C423" s="243">
        <v>522.03004220722255</v>
      </c>
      <c r="D423" s="243">
        <v>515.29339917629545</v>
      </c>
      <c r="E423" s="243">
        <v>515.66212076230772</v>
      </c>
      <c r="F423" s="243">
        <v>6291581.5021547033</v>
      </c>
      <c r="G423" s="243" t="s">
        <v>247</v>
      </c>
      <c r="H423" s="151">
        <f t="shared" si="12"/>
        <v>7.6529133249587655E-3</v>
      </c>
      <c r="J423" s="147">
        <v>276.07</v>
      </c>
      <c r="K423" s="147">
        <v>278.27</v>
      </c>
      <c r="L423" s="147">
        <v>268.846</v>
      </c>
      <c r="M423" s="147">
        <v>270.23</v>
      </c>
      <c r="N423" s="147">
        <v>242610</v>
      </c>
      <c r="O423" s="147" t="s">
        <v>247</v>
      </c>
      <c r="P423" s="151">
        <f t="shared" si="13"/>
        <v>2.1611220071790616E-2</v>
      </c>
    </row>
    <row r="424" spans="2:43" ht="14.25" customHeight="1">
      <c r="B424" s="243">
        <v>515.6720862105783</v>
      </c>
      <c r="C424" s="243">
        <v>516.62876924455611</v>
      </c>
      <c r="D424" s="243">
        <v>509.07495945543968</v>
      </c>
      <c r="E424" s="243">
        <v>509.51343917934616</v>
      </c>
      <c r="F424" s="243">
        <v>7437960.4396382375</v>
      </c>
      <c r="G424" s="243" t="s">
        <v>246</v>
      </c>
      <c r="H424" s="151">
        <f t="shared" si="12"/>
        <v>1.2087310280081365E-2</v>
      </c>
      <c r="J424" s="147">
        <v>272.62</v>
      </c>
      <c r="K424" s="147">
        <v>274.86</v>
      </c>
      <c r="L424" s="147">
        <v>264.92500000000001</v>
      </c>
      <c r="M424" s="147">
        <v>268.19</v>
      </c>
      <c r="N424" s="147">
        <v>307499</v>
      </c>
      <c r="O424" s="147" t="s">
        <v>246</v>
      </c>
      <c r="P424" s="151">
        <f t="shared" si="13"/>
        <v>1.6518140124538672E-2</v>
      </c>
    </row>
    <row r="425" spans="2:43" ht="14.25" customHeight="1">
      <c r="B425" s="243">
        <v>505.2980545608815</v>
      </c>
      <c r="C425" s="243">
        <v>512.28383379857348</v>
      </c>
      <c r="D425" s="243">
        <v>503.67368649277336</v>
      </c>
      <c r="E425" s="243">
        <v>511.73573414369048</v>
      </c>
      <c r="F425" s="243">
        <v>21725060.842337649</v>
      </c>
      <c r="G425" s="243" t="s">
        <v>245</v>
      </c>
      <c r="H425" s="151">
        <f t="shared" si="12"/>
        <v>-1.2580086074273189E-2</v>
      </c>
      <c r="J425" s="147">
        <v>260.63</v>
      </c>
      <c r="K425" s="147">
        <v>266.93</v>
      </c>
      <c r="L425" s="147">
        <v>256.54000000000002</v>
      </c>
      <c r="M425" s="147">
        <v>266.93</v>
      </c>
      <c r="N425" s="147">
        <v>281756</v>
      </c>
      <c r="O425" s="147" t="s">
        <v>245</v>
      </c>
      <c r="P425" s="151">
        <f t="shared" ref="P425:P457" si="14">J425/M425-1</f>
        <v>-2.3601693327838791E-2</v>
      </c>
    </row>
    <row r="426" spans="2:43" ht="14.25" customHeight="1">
      <c r="B426" s="243">
        <v>511.98487035045554</v>
      </c>
      <c r="C426" s="243">
        <v>515.95111876215515</v>
      </c>
      <c r="D426" s="243">
        <v>507.34097145635496</v>
      </c>
      <c r="E426" s="243">
        <v>515.10405565915403</v>
      </c>
      <c r="F426" s="243">
        <v>8620339.7646867074</v>
      </c>
      <c r="G426" s="243" t="s">
        <v>244</v>
      </c>
      <c r="H426" s="151">
        <f t="shared" si="12"/>
        <v>-6.0554470003288952E-3</v>
      </c>
      <c r="J426" s="147">
        <v>267.13</v>
      </c>
      <c r="K426" s="147">
        <v>272.71499999999997</v>
      </c>
      <c r="L426" s="147">
        <v>264.11</v>
      </c>
      <c r="M426" s="147">
        <v>266.01</v>
      </c>
      <c r="N426" s="147">
        <v>470259</v>
      </c>
      <c r="O426" s="147" t="s">
        <v>244</v>
      </c>
      <c r="P426" s="151">
        <f t="shared" si="14"/>
        <v>4.2103680312770564E-3</v>
      </c>
    </row>
    <row r="427" spans="2:43" ht="14.25" customHeight="1">
      <c r="B427" s="243">
        <v>509.51343917934616</v>
      </c>
      <c r="C427" s="243">
        <v>515.74174469398986</v>
      </c>
      <c r="D427" s="243">
        <v>505.77639607787034</v>
      </c>
      <c r="E427" s="243">
        <v>512.55290090187987</v>
      </c>
      <c r="F427" s="243">
        <v>11247777.014774196</v>
      </c>
      <c r="G427" s="243" t="s">
        <v>243</v>
      </c>
      <c r="H427" s="151">
        <f t="shared" si="12"/>
        <v>-5.9300449127992483E-3</v>
      </c>
      <c r="J427" s="147">
        <v>262.33999999999997</v>
      </c>
      <c r="K427" s="147">
        <v>265.38</v>
      </c>
      <c r="L427" s="147">
        <v>254.5</v>
      </c>
      <c r="M427" s="147">
        <v>257.24</v>
      </c>
      <c r="N427" s="147">
        <v>508894</v>
      </c>
      <c r="O427" s="147" t="s">
        <v>243</v>
      </c>
      <c r="P427" s="151">
        <f t="shared" si="14"/>
        <v>1.982584357020678E-2</v>
      </c>
    </row>
    <row r="428" spans="2:43" ht="14.25" customHeight="1">
      <c r="B428" s="243">
        <v>513.72882379781095</v>
      </c>
      <c r="C428" s="243">
        <v>521.89052593143413</v>
      </c>
      <c r="D428" s="243">
        <v>509.0649940071691</v>
      </c>
      <c r="E428" s="243">
        <v>520.09674524272566</v>
      </c>
      <c r="F428" s="243">
        <v>11215642.986148039</v>
      </c>
      <c r="G428" s="243" t="s">
        <v>242</v>
      </c>
      <c r="H428" s="151">
        <f t="shared" si="12"/>
        <v>-1.2243724851504045E-2</v>
      </c>
      <c r="J428" s="147">
        <v>257.24</v>
      </c>
      <c r="K428" s="147">
        <v>272.50209999999998</v>
      </c>
      <c r="L428" s="147">
        <v>256.17</v>
      </c>
      <c r="M428" s="147">
        <v>272.05</v>
      </c>
      <c r="N428" s="147">
        <v>693380</v>
      </c>
      <c r="O428" s="147" t="s">
        <v>242</v>
      </c>
      <c r="P428" s="151">
        <f t="shared" si="14"/>
        <v>-5.4438522330453987E-2</v>
      </c>
    </row>
    <row r="429" spans="2:43" ht="14.25" customHeight="1">
      <c r="B429" s="243">
        <v>527.68045137665388</v>
      </c>
      <c r="C429" s="243">
        <v>529.04571778972638</v>
      </c>
      <c r="D429" s="243">
        <v>518.33286089882904</v>
      </c>
      <c r="E429" s="243">
        <v>523.08637972390625</v>
      </c>
      <c r="F429" s="243">
        <v>7333618.9216487836</v>
      </c>
      <c r="G429" s="243" t="s">
        <v>241</v>
      </c>
      <c r="H429" s="151">
        <f t="shared" si="12"/>
        <v>8.782625261954724E-3</v>
      </c>
      <c r="J429" s="147">
        <v>274.79000000000002</v>
      </c>
      <c r="K429" s="147">
        <v>278.81</v>
      </c>
      <c r="L429" s="147">
        <v>269.42</v>
      </c>
      <c r="M429" s="147">
        <v>275.58999999999997</v>
      </c>
      <c r="N429" s="147">
        <v>347006</v>
      </c>
      <c r="O429" s="147" t="s">
        <v>241</v>
      </c>
      <c r="P429" s="151">
        <f t="shared" si="14"/>
        <v>-2.902862948582885E-3</v>
      </c>
    </row>
    <row r="430" spans="2:43" ht="14.25" customHeight="1">
      <c r="B430" s="243">
        <v>524.85026406780287</v>
      </c>
      <c r="C430" s="243">
        <v>531.58690709872985</v>
      </c>
      <c r="D430" s="243">
        <v>522.4087292415054</v>
      </c>
      <c r="E430" s="243">
        <v>527.36155703199472</v>
      </c>
      <c r="F430" s="243">
        <v>7253989.7892252151</v>
      </c>
      <c r="G430" s="243" t="s">
        <v>240</v>
      </c>
      <c r="H430" s="151">
        <f t="shared" si="12"/>
        <v>-4.7619947466885915E-3</v>
      </c>
      <c r="J430" s="147">
        <v>277.69</v>
      </c>
      <c r="K430" s="147">
        <v>287.86</v>
      </c>
      <c r="L430" s="147">
        <v>276.23</v>
      </c>
      <c r="M430" s="147">
        <v>282.24</v>
      </c>
      <c r="N430" s="147">
        <v>263249</v>
      </c>
      <c r="O430" s="147" t="s">
        <v>240</v>
      </c>
      <c r="P430" s="151">
        <f t="shared" si="14"/>
        <v>-1.6121031746031744E-2</v>
      </c>
    </row>
    <row r="431" spans="2:43" ht="14.25" customHeight="1">
      <c r="B431" s="243">
        <v>534.54664523509871</v>
      </c>
      <c r="C431" s="243">
        <v>535.93194219919519</v>
      </c>
      <c r="D431" s="243">
        <v>525.10936572283845</v>
      </c>
      <c r="E431" s="243">
        <v>528.41789454867842</v>
      </c>
      <c r="F431" s="243">
        <v>6243316.7390512833</v>
      </c>
      <c r="G431" s="243" t="s">
        <v>239</v>
      </c>
      <c r="H431" s="151">
        <f t="shared" si="12"/>
        <v>1.1598302687411577E-2</v>
      </c>
      <c r="J431" s="147">
        <v>286.38</v>
      </c>
      <c r="K431" s="147">
        <v>287.35000000000002</v>
      </c>
      <c r="L431" s="147">
        <v>280.44</v>
      </c>
      <c r="M431" s="147">
        <v>281.76</v>
      </c>
      <c r="N431" s="147">
        <v>393198</v>
      </c>
      <c r="O431" s="147" t="s">
        <v>239</v>
      </c>
      <c r="P431" s="151">
        <f t="shared" si="14"/>
        <v>1.6396933560477001E-2</v>
      </c>
    </row>
    <row r="432" spans="2:43" ht="14.25" customHeight="1">
      <c r="B432" s="243">
        <v>528.61720351409053</v>
      </c>
      <c r="C432" s="243">
        <v>536.42004985548931</v>
      </c>
      <c r="D432" s="243">
        <v>524.34202620600217</v>
      </c>
      <c r="E432" s="243">
        <v>531.21818551271758</v>
      </c>
      <c r="F432" s="243">
        <v>10513761.865493005</v>
      </c>
      <c r="G432" s="243" t="s">
        <v>238</v>
      </c>
      <c r="H432" s="151">
        <f t="shared" si="12"/>
        <v>-4.8962593329079374E-3</v>
      </c>
      <c r="J432" s="147">
        <v>283.62</v>
      </c>
      <c r="K432" s="147">
        <v>287.69</v>
      </c>
      <c r="L432" s="147">
        <v>278.62</v>
      </c>
      <c r="M432" s="147">
        <v>282.88</v>
      </c>
      <c r="N432" s="147">
        <v>437027</v>
      </c>
      <c r="O432" s="147" t="s">
        <v>238</v>
      </c>
      <c r="P432" s="151">
        <f t="shared" si="14"/>
        <v>2.6159502262443901E-3</v>
      </c>
    </row>
    <row r="433" spans="2:16" ht="14.25" customHeight="1">
      <c r="B433" s="243">
        <v>535.06484854517009</v>
      </c>
      <c r="C433" s="243">
        <v>547.39210805590494</v>
      </c>
      <c r="D433" s="243">
        <v>531.40852557468611</v>
      </c>
      <c r="E433" s="243">
        <v>546.3058741944094</v>
      </c>
      <c r="F433" s="243">
        <v>7315273.535165838</v>
      </c>
      <c r="G433" s="243" t="s">
        <v>237</v>
      </c>
      <c r="H433" s="151">
        <f t="shared" si="12"/>
        <v>-2.0576431959139163E-2</v>
      </c>
      <c r="J433" s="147">
        <v>285.88</v>
      </c>
      <c r="K433" s="147">
        <v>292.14</v>
      </c>
      <c r="L433" s="147">
        <v>281.89</v>
      </c>
      <c r="M433" s="147">
        <v>285.48</v>
      </c>
      <c r="N433" s="147">
        <v>434432</v>
      </c>
      <c r="O433" s="147" t="s">
        <v>237</v>
      </c>
      <c r="P433" s="151">
        <f t="shared" si="14"/>
        <v>1.4011489421323908E-3</v>
      </c>
    </row>
    <row r="434" spans="2:16" ht="14.25" customHeight="1">
      <c r="B434" s="243">
        <v>544.44233536780678</v>
      </c>
      <c r="C434" s="243">
        <v>545.00040047096036</v>
      </c>
      <c r="D434" s="243">
        <v>533.72947847690943</v>
      </c>
      <c r="E434" s="243">
        <v>536.55966578576033</v>
      </c>
      <c r="F434" s="243">
        <v>7353458.470721879</v>
      </c>
      <c r="G434" s="243" t="s">
        <v>236</v>
      </c>
      <c r="H434" s="151">
        <f t="shared" si="12"/>
        <v>1.4691133315998917E-2</v>
      </c>
      <c r="J434" s="147">
        <v>285.44</v>
      </c>
      <c r="K434" s="147">
        <v>285.44</v>
      </c>
      <c r="L434" s="147">
        <v>278.41000000000003</v>
      </c>
      <c r="M434" s="147">
        <v>280.22000000000003</v>
      </c>
      <c r="N434" s="147">
        <v>323048</v>
      </c>
      <c r="O434" s="147" t="s">
        <v>236</v>
      </c>
      <c r="P434" s="151">
        <f t="shared" si="14"/>
        <v>1.8628220683748475E-2</v>
      </c>
    </row>
    <row r="435" spans="2:16" ht="14.25" customHeight="1">
      <c r="B435" s="243">
        <v>536.11122061358333</v>
      </c>
      <c r="C435" s="243">
        <v>547.98006950387048</v>
      </c>
      <c r="D435" s="243">
        <v>535.74249902757106</v>
      </c>
      <c r="E435" s="243">
        <v>546.93369743545725</v>
      </c>
      <c r="F435" s="243">
        <v>5540494.3662071563</v>
      </c>
      <c r="G435" s="243" t="s">
        <v>235</v>
      </c>
      <c r="H435" s="151">
        <f t="shared" si="12"/>
        <v>-1.9787548056775295E-2</v>
      </c>
      <c r="J435" s="147">
        <v>281.45999999999998</v>
      </c>
      <c r="K435" s="147">
        <v>292.78500000000003</v>
      </c>
      <c r="L435" s="147">
        <v>280.77</v>
      </c>
      <c r="M435" s="147">
        <v>291.8</v>
      </c>
      <c r="N435" s="147">
        <v>361612</v>
      </c>
      <c r="O435" s="147" t="s">
        <v>235</v>
      </c>
      <c r="P435" s="151">
        <f t="shared" si="14"/>
        <v>-3.543522960932155E-2</v>
      </c>
    </row>
    <row r="436" spans="2:16" ht="14.25" customHeight="1">
      <c r="B436" s="243">
        <v>544.86088419517193</v>
      </c>
      <c r="C436" s="243">
        <v>549.4400076755137</v>
      </c>
      <c r="D436" s="243">
        <v>542.36952212752146</v>
      </c>
      <c r="E436" s="243">
        <v>546.11653067726786</v>
      </c>
      <c r="F436" s="243">
        <v>4195298.4817886017</v>
      </c>
      <c r="G436" s="243" t="s">
        <v>234</v>
      </c>
      <c r="H436" s="151">
        <f t="shared" si="12"/>
        <v>-2.2992281162753647E-3</v>
      </c>
      <c r="J436" s="147">
        <v>291.83999999999997</v>
      </c>
      <c r="K436" s="147">
        <v>294.27999999999997</v>
      </c>
      <c r="L436" s="147">
        <v>280.74</v>
      </c>
      <c r="M436" s="147">
        <v>280.74</v>
      </c>
      <c r="N436" s="147">
        <v>448981</v>
      </c>
      <c r="O436" s="147" t="s">
        <v>234</v>
      </c>
      <c r="P436" s="151">
        <f t="shared" si="14"/>
        <v>3.9538362898055013E-2</v>
      </c>
    </row>
    <row r="437" spans="2:16" ht="14.25" customHeight="1">
      <c r="B437" s="243">
        <v>544.52205895397151</v>
      </c>
      <c r="C437" s="243">
        <v>547.87044957289379</v>
      </c>
      <c r="D437" s="243">
        <v>540.2951144155129</v>
      </c>
      <c r="E437" s="243">
        <v>547.28248812492825</v>
      </c>
      <c r="F437" s="243">
        <v>5510533.8474334273</v>
      </c>
      <c r="G437" s="243" t="s">
        <v>233</v>
      </c>
      <c r="H437" s="151">
        <f t="shared" si="12"/>
        <v>-5.0438836082886684E-3</v>
      </c>
      <c r="J437" s="147">
        <v>281.62</v>
      </c>
      <c r="K437" s="147">
        <v>288.48500000000001</v>
      </c>
      <c r="L437" s="147">
        <v>275.27</v>
      </c>
      <c r="M437" s="147">
        <v>288.18</v>
      </c>
      <c r="N437" s="147">
        <v>502240</v>
      </c>
      <c r="O437" s="147" t="s">
        <v>233</v>
      </c>
      <c r="P437" s="151">
        <f t="shared" si="14"/>
        <v>-2.2763550558678625E-2</v>
      </c>
    </row>
    <row r="438" spans="2:16" ht="14.25" customHeight="1">
      <c r="B438" s="243">
        <v>547.24262633184594</v>
      </c>
      <c r="C438" s="243">
        <v>552.59407205315927</v>
      </c>
      <c r="D438" s="243">
        <v>546.61809168872719</v>
      </c>
      <c r="E438" s="243">
        <v>551.69718170880503</v>
      </c>
      <c r="F438" s="243">
        <v>4788801.1360994671</v>
      </c>
      <c r="G438" s="243" t="s">
        <v>232</v>
      </c>
      <c r="H438" s="151">
        <f t="shared" si="12"/>
        <v>-8.0742761149544817E-3</v>
      </c>
      <c r="J438" s="147">
        <v>287.7</v>
      </c>
      <c r="K438" s="147">
        <v>294.58999999999997</v>
      </c>
      <c r="L438" s="147">
        <v>286.2</v>
      </c>
      <c r="M438" s="147">
        <v>291.27999999999997</v>
      </c>
      <c r="N438" s="147">
        <v>561488</v>
      </c>
      <c r="O438" s="147" t="s">
        <v>232</v>
      </c>
      <c r="P438" s="151">
        <f t="shared" si="14"/>
        <v>-1.2290579511123223E-2</v>
      </c>
    </row>
    <row r="439" spans="2:16" ht="14.25" customHeight="1">
      <c r="B439" s="243">
        <v>549.8436083304731</v>
      </c>
      <c r="C439" s="243">
        <v>559.2609569461921</v>
      </c>
      <c r="D439" s="243">
        <v>549.36028408934885</v>
      </c>
      <c r="E439" s="243">
        <v>559.16130246348609</v>
      </c>
      <c r="F439" s="243">
        <v>6170012.4600902461</v>
      </c>
      <c r="G439" s="243" t="s">
        <v>231</v>
      </c>
      <c r="H439" s="151">
        <f t="shared" si="12"/>
        <v>-1.6663696310817988E-2</v>
      </c>
      <c r="J439" s="147">
        <v>291.68</v>
      </c>
      <c r="K439" s="147">
        <v>304.11</v>
      </c>
      <c r="L439" s="147">
        <v>290.55</v>
      </c>
      <c r="M439" s="147">
        <v>303</v>
      </c>
      <c r="N439" s="147">
        <v>635329</v>
      </c>
      <c r="O439" s="147" t="s">
        <v>231</v>
      </c>
      <c r="P439" s="151">
        <f t="shared" si="14"/>
        <v>-3.7359735973597319E-2</v>
      </c>
    </row>
    <row r="440" spans="2:16" ht="14.25" customHeight="1">
      <c r="B440" s="243">
        <v>559.3606114288981</v>
      </c>
      <c r="C440" s="243">
        <v>560.54101877655091</v>
      </c>
      <c r="D440" s="243">
        <v>556.29125336155266</v>
      </c>
      <c r="E440" s="243">
        <v>560.44684529039375</v>
      </c>
      <c r="F440" s="243">
        <v>4462199.6715570865</v>
      </c>
      <c r="G440" s="243" t="s">
        <v>230</v>
      </c>
      <c r="H440" s="151">
        <f t="shared" si="12"/>
        <v>-1.9381567951066714E-3</v>
      </c>
      <c r="J440" s="147">
        <v>303.12</v>
      </c>
      <c r="K440" s="147">
        <v>309.08</v>
      </c>
      <c r="L440" s="147">
        <v>300</v>
      </c>
      <c r="M440" s="147">
        <v>303.22000000000003</v>
      </c>
      <c r="N440" s="147">
        <v>683701</v>
      </c>
      <c r="O440" s="147" t="s">
        <v>230</v>
      </c>
      <c r="P440" s="151">
        <f t="shared" si="14"/>
        <v>-3.2979354923823312E-4</v>
      </c>
    </row>
    <row r="441" spans="2:16" ht="14.25" customHeight="1">
      <c r="B441" s="243">
        <v>561.72242266903072</v>
      </c>
      <c r="C441" s="243">
        <v>561.97155887579584</v>
      </c>
      <c r="D441" s="243">
        <v>558.5942684568887</v>
      </c>
      <c r="E441" s="243">
        <v>559.08157887732125</v>
      </c>
      <c r="F441" s="243">
        <v>3870935.7524635624</v>
      </c>
      <c r="G441" s="243" t="s">
        <v>229</v>
      </c>
      <c r="H441" s="151">
        <f t="shared" si="12"/>
        <v>4.7235392677620336E-3</v>
      </c>
      <c r="J441" s="147">
        <v>303.76</v>
      </c>
      <c r="K441" s="147">
        <v>310</v>
      </c>
      <c r="L441" s="147">
        <v>290.11</v>
      </c>
      <c r="M441" s="147">
        <v>296.10000000000002</v>
      </c>
      <c r="N441" s="147">
        <v>1816341</v>
      </c>
      <c r="O441" s="147" t="s">
        <v>229</v>
      </c>
      <c r="P441" s="151">
        <f t="shared" si="14"/>
        <v>2.5869638635595882E-2</v>
      </c>
    </row>
    <row r="442" spans="2:16" ht="14.25" customHeight="1">
      <c r="B442" s="243">
        <v>560.36712170422891</v>
      </c>
      <c r="C442" s="243">
        <v>560.36712170422891</v>
      </c>
      <c r="D442" s="243">
        <v>557.55686529191917</v>
      </c>
      <c r="E442" s="243">
        <v>559.85888384242821</v>
      </c>
      <c r="F442" s="243">
        <v>3858235.8721808712</v>
      </c>
      <c r="G442" s="243" t="s">
        <v>228</v>
      </c>
      <c r="H442" s="151">
        <f t="shared" si="12"/>
        <v>9.077963688144397E-4</v>
      </c>
      <c r="J442" s="147">
        <v>271.14</v>
      </c>
      <c r="K442" s="147">
        <v>273.55500000000001</v>
      </c>
      <c r="L442" s="147">
        <v>264.815</v>
      </c>
      <c r="M442" s="147">
        <v>266.5</v>
      </c>
      <c r="N442" s="147">
        <v>716997</v>
      </c>
      <c r="O442" s="147" t="s">
        <v>228</v>
      </c>
      <c r="P442" s="151">
        <f t="shared" si="14"/>
        <v>1.7410881801125599E-2</v>
      </c>
    </row>
    <row r="443" spans="2:16" ht="14.25" customHeight="1">
      <c r="B443" s="243">
        <v>558.7527190843914</v>
      </c>
      <c r="C443" s="243">
        <v>559.91867653205179</v>
      </c>
      <c r="D443" s="243">
        <v>558.13486129161413</v>
      </c>
      <c r="E443" s="243">
        <v>558.96199349807398</v>
      </c>
      <c r="F443" s="243">
        <v>3392290.9519008892</v>
      </c>
      <c r="G443" s="243" t="s">
        <v>227</v>
      </c>
      <c r="H443" s="151">
        <f t="shared" si="12"/>
        <v>-3.7439828846486112E-4</v>
      </c>
      <c r="J443" s="147">
        <v>268.67</v>
      </c>
      <c r="K443" s="147">
        <v>274.75290000000001</v>
      </c>
      <c r="L443" s="147">
        <v>266.86</v>
      </c>
      <c r="M443" s="147">
        <v>272.85000000000002</v>
      </c>
      <c r="N443" s="147">
        <v>400891</v>
      </c>
      <c r="O443" s="147" t="s">
        <v>227</v>
      </c>
      <c r="P443" s="151">
        <f t="shared" si="14"/>
        <v>-1.5319772768920714E-2</v>
      </c>
    </row>
    <row r="444" spans="2:16" ht="14.25" customHeight="1">
      <c r="B444" s="243">
        <v>558.73278818785013</v>
      </c>
      <c r="C444" s="243">
        <v>558.94206260153283</v>
      </c>
      <c r="D444" s="243">
        <v>552.7784328461654</v>
      </c>
      <c r="E444" s="243">
        <v>553.94937301796119</v>
      </c>
      <c r="F444" s="243">
        <v>3400246.4394863169</v>
      </c>
      <c r="G444" s="243" t="s">
        <v>226</v>
      </c>
      <c r="H444" s="151">
        <f t="shared" si="12"/>
        <v>8.6351125263099959E-3</v>
      </c>
      <c r="J444" s="147">
        <v>272.89</v>
      </c>
      <c r="K444" s="147">
        <v>273.07</v>
      </c>
      <c r="L444" s="147">
        <v>267.36660000000001</v>
      </c>
      <c r="M444" s="147">
        <v>267.97000000000003</v>
      </c>
      <c r="N444" s="147">
        <v>301641</v>
      </c>
      <c r="O444" s="147" t="s">
        <v>226</v>
      </c>
      <c r="P444" s="151">
        <f t="shared" si="14"/>
        <v>1.8360264208679977E-2</v>
      </c>
    </row>
    <row r="445" spans="2:16" ht="14.25" customHeight="1">
      <c r="B445" s="243">
        <v>552.89303550127727</v>
      </c>
      <c r="C445" s="243">
        <v>553.99421753517879</v>
      </c>
      <c r="D445" s="243">
        <v>548.48830736567118</v>
      </c>
      <c r="E445" s="243">
        <v>549.09619971017787</v>
      </c>
      <c r="F445" s="243">
        <v>3591893.6136163576</v>
      </c>
      <c r="G445" s="243" t="s">
        <v>225</v>
      </c>
      <c r="H445" s="151">
        <f t="shared" si="12"/>
        <v>6.9147005444645249E-3</v>
      </c>
      <c r="J445" s="147">
        <v>267.06</v>
      </c>
      <c r="K445" s="147">
        <v>267.64</v>
      </c>
      <c r="L445" s="147">
        <v>260.51</v>
      </c>
      <c r="M445" s="147">
        <v>264</v>
      </c>
      <c r="N445" s="147">
        <v>350865</v>
      </c>
      <c r="O445" s="147" t="s">
        <v>225</v>
      </c>
      <c r="P445" s="151">
        <f t="shared" si="14"/>
        <v>1.1590909090909207E-2</v>
      </c>
    </row>
    <row r="446" spans="2:16" ht="14.25" customHeight="1">
      <c r="B446" s="243">
        <v>554.72667798306804</v>
      </c>
      <c r="C446" s="243">
        <v>555.19007132765114</v>
      </c>
      <c r="D446" s="243">
        <v>552.07586874308799</v>
      </c>
      <c r="E446" s="243">
        <v>552.18548867406457</v>
      </c>
      <c r="F446" s="243">
        <v>2762467.8040034226</v>
      </c>
      <c r="G446" s="243" t="s">
        <v>224</v>
      </c>
      <c r="H446" s="151">
        <f t="shared" si="12"/>
        <v>4.6020573903626794E-3</v>
      </c>
      <c r="J446" s="147">
        <v>268.3</v>
      </c>
      <c r="K446" s="147">
        <v>270.91500000000002</v>
      </c>
      <c r="L446" s="147">
        <v>258.82</v>
      </c>
      <c r="M446" s="147">
        <v>259.14999999999998</v>
      </c>
      <c r="N446" s="147">
        <v>779003</v>
      </c>
      <c r="O446" s="147" t="s">
        <v>224</v>
      </c>
      <c r="P446" s="151">
        <f t="shared" si="14"/>
        <v>3.5307736831950765E-2</v>
      </c>
    </row>
    <row r="447" spans="2:16" ht="14.25" customHeight="1">
      <c r="B447" s="243">
        <v>554.22840556953793</v>
      </c>
      <c r="C447" s="243">
        <v>554.85174435886415</v>
      </c>
      <c r="D447" s="243">
        <v>552.325004949853</v>
      </c>
      <c r="E447" s="243">
        <v>553.52085874232534</v>
      </c>
      <c r="F447" s="243">
        <v>3529747.8893916928</v>
      </c>
      <c r="G447" s="243" t="s">
        <v>223</v>
      </c>
      <c r="H447" s="151">
        <f t="shared" si="12"/>
        <v>1.2782658793026869E-3</v>
      </c>
      <c r="J447" s="147">
        <v>261.05</v>
      </c>
      <c r="K447" s="147">
        <v>262.315</v>
      </c>
      <c r="L447" s="147">
        <v>259.43</v>
      </c>
      <c r="M447" s="147">
        <v>260.31</v>
      </c>
      <c r="N447" s="147">
        <v>300754</v>
      </c>
      <c r="O447" s="147" t="s">
        <v>223</v>
      </c>
      <c r="P447" s="151">
        <f t="shared" si="14"/>
        <v>2.8427643962967153E-3</v>
      </c>
    </row>
    <row r="448" spans="2:16" ht="14.25" customHeight="1">
      <c r="B448" s="243">
        <v>550.29205350265022</v>
      </c>
      <c r="C448" s="243">
        <v>557.26786729207174</v>
      </c>
      <c r="D448" s="243">
        <v>549.8884528476907</v>
      </c>
      <c r="E448" s="243">
        <v>556.17166798230539</v>
      </c>
      <c r="F448" s="243">
        <v>10196785.657877898</v>
      </c>
      <c r="G448" s="243" t="s">
        <v>222</v>
      </c>
      <c r="H448" s="151">
        <f t="shared" si="12"/>
        <v>-1.057158215373577E-2</v>
      </c>
      <c r="J448" s="147">
        <v>260.67</v>
      </c>
      <c r="K448" s="147">
        <v>263.11</v>
      </c>
      <c r="L448" s="147">
        <v>259.20999999999998</v>
      </c>
      <c r="M448" s="147">
        <v>261.08999999999997</v>
      </c>
      <c r="N448" s="147">
        <v>266249</v>
      </c>
      <c r="O448" s="147" t="s">
        <v>222</v>
      </c>
      <c r="P448" s="151">
        <f t="shared" si="14"/>
        <v>-1.6086406986095536E-3</v>
      </c>
    </row>
    <row r="449" spans="2:16" ht="14.25" customHeight="1">
      <c r="B449" s="243">
        <v>555.69332646531655</v>
      </c>
      <c r="C449" s="243">
        <v>555.72322281012828</v>
      </c>
      <c r="D449" s="243">
        <v>552.2751777085</v>
      </c>
      <c r="E449" s="243">
        <v>555.36446667238658</v>
      </c>
      <c r="F449" s="243">
        <v>3618802.5887791775</v>
      </c>
      <c r="G449" s="243" t="s">
        <v>221</v>
      </c>
      <c r="H449" s="151">
        <f t="shared" si="12"/>
        <v>5.9215130363021728E-4</v>
      </c>
      <c r="J449" s="147">
        <v>261.5</v>
      </c>
      <c r="K449" s="147">
        <v>265.56</v>
      </c>
      <c r="L449" s="147">
        <v>259.79000000000002</v>
      </c>
      <c r="M449" s="147">
        <v>265.56</v>
      </c>
      <c r="N449" s="147">
        <v>342922</v>
      </c>
      <c r="O449" s="147" t="s">
        <v>221</v>
      </c>
      <c r="P449" s="151">
        <f t="shared" si="14"/>
        <v>-1.528844705527943E-2</v>
      </c>
    </row>
    <row r="450" spans="2:16" ht="14.25" customHeight="1">
      <c r="B450" s="243">
        <v>553.70023681119608</v>
      </c>
      <c r="C450" s="243">
        <v>553.80985674217277</v>
      </c>
      <c r="D450" s="243">
        <v>548.50823826221233</v>
      </c>
      <c r="E450" s="243">
        <v>550.43156977843864</v>
      </c>
      <c r="F450" s="243">
        <v>3436056.1682922682</v>
      </c>
      <c r="G450" s="243" t="s">
        <v>220</v>
      </c>
      <c r="H450" s="151">
        <f t="shared" si="12"/>
        <v>5.9383712930440868E-3</v>
      </c>
      <c r="J450" s="147">
        <v>265.94</v>
      </c>
      <c r="K450" s="147">
        <v>266.64999999999998</v>
      </c>
      <c r="L450" s="147">
        <v>263.05</v>
      </c>
      <c r="M450" s="147">
        <v>266.44</v>
      </c>
      <c r="N450" s="147">
        <v>367115</v>
      </c>
      <c r="O450" s="147" t="s">
        <v>220</v>
      </c>
      <c r="P450" s="151">
        <f t="shared" si="14"/>
        <v>-1.8765951058399288E-3</v>
      </c>
    </row>
    <row r="451" spans="2:16" ht="14.25" customHeight="1">
      <c r="B451" s="243">
        <v>551.43808005376945</v>
      </c>
      <c r="C451" s="243">
        <v>551.9164215707583</v>
      </c>
      <c r="D451" s="243">
        <v>547.33231536628136</v>
      </c>
      <c r="E451" s="243">
        <v>547.80069143499964</v>
      </c>
      <c r="F451" s="243">
        <v>4195910.5967516582</v>
      </c>
      <c r="G451" s="243" t="s">
        <v>219</v>
      </c>
      <c r="H451" s="151">
        <f t="shared" si="12"/>
        <v>6.6399854466072661E-3</v>
      </c>
      <c r="J451" s="147">
        <v>262.11</v>
      </c>
      <c r="K451" s="147">
        <v>266.48989999999998</v>
      </c>
      <c r="L451" s="147">
        <v>259.58</v>
      </c>
      <c r="M451" s="147">
        <v>264.64999999999998</v>
      </c>
      <c r="N451" s="147">
        <v>886098</v>
      </c>
      <c r="O451" s="147" t="s">
        <v>219</v>
      </c>
      <c r="P451" s="151">
        <f t="shared" si="14"/>
        <v>-9.5975817116945583E-3</v>
      </c>
    </row>
    <row r="452" spans="2:16" ht="14.25" customHeight="1">
      <c r="B452" s="243">
        <v>547.80069143499964</v>
      </c>
      <c r="C452" s="243">
        <v>550.05278308967297</v>
      </c>
      <c r="D452" s="243">
        <v>541.10391019715496</v>
      </c>
      <c r="E452" s="243">
        <v>543.106965299546</v>
      </c>
      <c r="F452" s="243">
        <v>7851164.1298472667</v>
      </c>
      <c r="G452" s="243" t="s">
        <v>218</v>
      </c>
      <c r="H452" s="151">
        <f t="shared" si="12"/>
        <v>8.6423604102827678E-3</v>
      </c>
      <c r="J452" s="147">
        <v>265</v>
      </c>
      <c r="K452" s="147">
        <v>267</v>
      </c>
      <c r="L452" s="147">
        <v>263.16000000000003</v>
      </c>
      <c r="M452" s="147">
        <v>264.89999999999998</v>
      </c>
      <c r="N452" s="147">
        <v>536800</v>
      </c>
      <c r="O452" s="147" t="s">
        <v>218</v>
      </c>
      <c r="P452" s="151">
        <f t="shared" si="14"/>
        <v>3.7750094375255117E-4</v>
      </c>
    </row>
    <row r="453" spans="2:16" ht="14.25" customHeight="1">
      <c r="B453" s="243">
        <v>551.41814915722819</v>
      </c>
      <c r="C453" s="243">
        <v>558.9520280498034</v>
      </c>
      <c r="D453" s="243">
        <v>550.80029136445091</v>
      </c>
      <c r="E453" s="243">
        <v>556.68987129237678</v>
      </c>
      <c r="F453" s="243">
        <v>6264968.5498018861</v>
      </c>
      <c r="G453" s="243" t="s">
        <v>217</v>
      </c>
      <c r="H453" s="151">
        <f t="shared" si="12"/>
        <v>-9.4697647774875104E-3</v>
      </c>
      <c r="J453" s="147">
        <v>266.97000000000003</v>
      </c>
      <c r="K453" s="147">
        <v>271.53100000000001</v>
      </c>
      <c r="L453" s="147">
        <v>266.62</v>
      </c>
      <c r="M453" s="147">
        <v>270.07</v>
      </c>
      <c r="N453" s="147">
        <v>490013</v>
      </c>
      <c r="O453" s="147" t="s">
        <v>217</v>
      </c>
      <c r="P453" s="151">
        <f t="shared" si="14"/>
        <v>-1.1478505572629194E-2</v>
      </c>
    </row>
    <row r="454" spans="2:16" ht="14.25" customHeight="1">
      <c r="B454" s="243">
        <v>554.37788729359704</v>
      </c>
      <c r="C454" s="243">
        <v>555.85277363764612</v>
      </c>
      <c r="D454" s="243">
        <v>550.47143157152095</v>
      </c>
      <c r="E454" s="243">
        <v>553.45110060443108</v>
      </c>
      <c r="F454" s="243">
        <v>4311434.7526891446</v>
      </c>
      <c r="G454" s="243" t="s">
        <v>216</v>
      </c>
      <c r="H454" s="151">
        <f t="shared" si="12"/>
        <v>1.6745593028071326E-3</v>
      </c>
      <c r="J454" s="147">
        <v>269</v>
      </c>
      <c r="K454" s="147">
        <v>272.5</v>
      </c>
      <c r="L454" s="147">
        <v>267.27999999999997</v>
      </c>
      <c r="M454" s="147">
        <v>270.20999999999998</v>
      </c>
      <c r="N454" s="147">
        <v>259519</v>
      </c>
      <c r="O454" s="147" t="s">
        <v>216</v>
      </c>
      <c r="P454" s="151">
        <f t="shared" si="14"/>
        <v>-4.4779985936863609E-3</v>
      </c>
    </row>
    <row r="455" spans="2:16" ht="14.25" customHeight="1">
      <c r="B455" s="243">
        <v>551.49787274339303</v>
      </c>
      <c r="C455" s="243">
        <v>553.58065143194881</v>
      </c>
      <c r="D455" s="243">
        <v>549.06640301984885</v>
      </c>
      <c r="E455" s="243">
        <v>553.25179163901896</v>
      </c>
      <c r="F455" s="243">
        <v>4188944.5277786455</v>
      </c>
      <c r="G455" s="243" t="s">
        <v>215</v>
      </c>
      <c r="H455" s="151">
        <f t="shared" si="12"/>
        <v>-3.1702001188824713E-3</v>
      </c>
      <c r="J455" s="147">
        <v>269.73</v>
      </c>
      <c r="K455" s="147">
        <v>271.57</v>
      </c>
      <c r="L455" s="147">
        <v>266.37</v>
      </c>
      <c r="M455" s="147">
        <v>271.57</v>
      </c>
      <c r="N455" s="147">
        <v>371690</v>
      </c>
      <c r="O455" s="147" t="s">
        <v>215</v>
      </c>
      <c r="P455" s="151">
        <f t="shared" si="14"/>
        <v>-6.7754170195528651E-3</v>
      </c>
    </row>
    <row r="456" spans="2:16" ht="14.25" customHeight="1">
      <c r="B456" s="243">
        <v>553.92944212141992</v>
      </c>
      <c r="C456" s="243">
        <v>554.72667798306804</v>
      </c>
      <c r="D456" s="243">
        <v>547.32234991801079</v>
      </c>
      <c r="E456" s="243">
        <v>550.39170798535611</v>
      </c>
      <c r="F456" s="243">
        <v>4179113.5600850987</v>
      </c>
      <c r="G456" s="243" t="s">
        <v>214</v>
      </c>
      <c r="H456" s="151">
        <f t="shared" si="12"/>
        <v>6.4276661234836663E-3</v>
      </c>
      <c r="J456" s="147">
        <v>270.82</v>
      </c>
      <c r="K456" s="147">
        <v>275.18</v>
      </c>
      <c r="L456" s="147">
        <v>269.51</v>
      </c>
      <c r="M456" s="147">
        <v>273.10000000000002</v>
      </c>
      <c r="N456" s="147">
        <v>317563</v>
      </c>
      <c r="O456" s="147" t="s">
        <v>214</v>
      </c>
      <c r="P456" s="151">
        <f t="shared" si="14"/>
        <v>-8.3485902599781392E-3</v>
      </c>
    </row>
    <row r="457" spans="2:16" ht="14.25" customHeight="1">
      <c r="B457" s="243">
        <v>549.32540502040172</v>
      </c>
      <c r="C457" s="243">
        <v>549.48485219273141</v>
      </c>
      <c r="D457" s="243">
        <v>544.94060778133689</v>
      </c>
      <c r="E457" s="243">
        <v>545.04026226404278</v>
      </c>
      <c r="F457" s="243">
        <v>7643795.6358382031</v>
      </c>
      <c r="G457" s="243" t="s">
        <v>213</v>
      </c>
      <c r="H457" s="151">
        <f t="shared" si="12"/>
        <v>7.8620664436033216E-3</v>
      </c>
      <c r="J457" s="147">
        <v>272.73</v>
      </c>
      <c r="K457" s="147">
        <v>275</v>
      </c>
      <c r="L457" s="147">
        <v>270.54500000000002</v>
      </c>
      <c r="M457" s="147">
        <v>274.04000000000002</v>
      </c>
      <c r="N457" s="147">
        <v>258097</v>
      </c>
      <c r="O457" s="147" t="s">
        <v>213</v>
      </c>
      <c r="P457" s="151">
        <f t="shared" si="14"/>
        <v>-4.7803240402860547E-3</v>
      </c>
    </row>
    <row r="458" spans="2:16" ht="14.25" customHeight="1">
      <c r="B458" s="243">
        <v>557.0785237749302</v>
      </c>
      <c r="C458" s="243">
        <v>559.71936756663979</v>
      </c>
      <c r="D458" s="243">
        <v>556.09194439614055</v>
      </c>
      <c r="E458" s="243">
        <v>558.82247722228556</v>
      </c>
      <c r="F458" s="243">
        <v>3624664.8438843829</v>
      </c>
      <c r="G458" s="243" t="s">
        <v>212</v>
      </c>
      <c r="H458" s="151">
        <f t="shared" ref="H458:H521" si="15">B458/E458-1</f>
        <v>-3.1207646765104569E-3</v>
      </c>
      <c r="J458" s="147">
        <v>274.06</v>
      </c>
      <c r="K458" s="147">
        <v>275.49</v>
      </c>
      <c r="L458" s="147">
        <v>271.0136</v>
      </c>
      <c r="M458" s="147">
        <v>272.36</v>
      </c>
      <c r="N458" s="147">
        <v>409593</v>
      </c>
      <c r="O458" s="147" t="s">
        <v>212</v>
      </c>
      <c r="P458" s="151">
        <f t="shared" ref="P458:P471" si="16">J458/M458-1</f>
        <v>6.2417388750182212E-3</v>
      </c>
    </row>
    <row r="459" spans="2:16" ht="14.25" customHeight="1">
      <c r="B459" s="243">
        <v>558.76268453266198</v>
      </c>
      <c r="C459" s="243">
        <v>558.76268453266198</v>
      </c>
      <c r="D459" s="243">
        <v>554.87615970712704</v>
      </c>
      <c r="E459" s="243">
        <v>555.11533046562158</v>
      </c>
      <c r="F459" s="243">
        <v>6239436.3315723669</v>
      </c>
      <c r="G459" s="243" t="s">
        <v>211</v>
      </c>
      <c r="H459" s="151">
        <f t="shared" si="15"/>
        <v>6.5704437742353239E-3</v>
      </c>
      <c r="J459" s="147">
        <v>273.77999999999997</v>
      </c>
      <c r="K459" s="147">
        <v>275.64999999999998</v>
      </c>
      <c r="L459" s="147">
        <v>270.04000000000002</v>
      </c>
      <c r="M459" s="147">
        <v>275.64999999999998</v>
      </c>
      <c r="N459" s="147">
        <v>639072</v>
      </c>
      <c r="O459" s="147" t="s">
        <v>211</v>
      </c>
      <c r="P459" s="151">
        <f t="shared" si="16"/>
        <v>-6.7839651732268802E-3</v>
      </c>
    </row>
    <row r="460" spans="2:16" ht="14.25" customHeight="1">
      <c r="B460" s="243">
        <v>555.68336101704597</v>
      </c>
      <c r="C460" s="243">
        <v>556.99870053428265</v>
      </c>
      <c r="D460" s="243">
        <v>554.80640156923289</v>
      </c>
      <c r="E460" s="243">
        <v>555.2648121896807</v>
      </c>
      <c r="F460" s="243">
        <v>4796609.1140134707</v>
      </c>
      <c r="G460" s="243" t="s">
        <v>210</v>
      </c>
      <c r="H460" s="151">
        <f t="shared" si="15"/>
        <v>7.5378237226075839E-4</v>
      </c>
      <c r="J460" s="147">
        <v>275.83999999999997</v>
      </c>
      <c r="K460" s="147">
        <v>277.89</v>
      </c>
      <c r="L460" s="147">
        <v>266.23</v>
      </c>
      <c r="M460" s="147">
        <v>267.43</v>
      </c>
      <c r="N460" s="147">
        <v>745591</v>
      </c>
      <c r="O460" s="147" t="s">
        <v>210</v>
      </c>
      <c r="P460" s="151">
        <f t="shared" si="16"/>
        <v>3.1447481583965819E-2</v>
      </c>
    </row>
    <row r="461" spans="2:16" ht="14.25" customHeight="1">
      <c r="B461" s="243">
        <v>552.54424481180627</v>
      </c>
      <c r="C461" s="243">
        <v>552.54424481180627</v>
      </c>
      <c r="D461" s="243">
        <v>548.59792729664775</v>
      </c>
      <c r="E461" s="243">
        <v>550.41163888189737</v>
      </c>
      <c r="F461" s="243">
        <v>5320059.7264047191</v>
      </c>
      <c r="G461" s="243" t="s">
        <v>209</v>
      </c>
      <c r="H461" s="151">
        <f t="shared" si="15"/>
        <v>3.8745654692933229E-3</v>
      </c>
      <c r="J461" s="147">
        <v>268.2</v>
      </c>
      <c r="K461" s="147">
        <v>270.69</v>
      </c>
      <c r="L461" s="147">
        <v>265.14</v>
      </c>
      <c r="M461" s="147">
        <v>270</v>
      </c>
      <c r="N461" s="147">
        <v>448904</v>
      </c>
      <c r="O461" s="147" t="s">
        <v>209</v>
      </c>
      <c r="P461" s="151">
        <f t="shared" si="16"/>
        <v>-6.6666666666667096E-3</v>
      </c>
    </row>
    <row r="462" spans="2:16" ht="14.25" customHeight="1">
      <c r="B462" s="243">
        <v>547.56152067650521</v>
      </c>
      <c r="C462" s="243">
        <v>549.21578508942514</v>
      </c>
      <c r="D462" s="243">
        <v>545.7876708843379</v>
      </c>
      <c r="E462" s="243">
        <v>547.02338646989256</v>
      </c>
      <c r="F462" s="243">
        <v>6581390.843548785</v>
      </c>
      <c r="G462" s="243" t="s">
        <v>208</v>
      </c>
      <c r="H462" s="151">
        <f t="shared" si="15"/>
        <v>9.83749908912257E-4</v>
      </c>
      <c r="J462" s="147">
        <v>263.69</v>
      </c>
      <c r="K462" s="147">
        <v>264.93</v>
      </c>
      <c r="L462" s="147">
        <v>259.31</v>
      </c>
      <c r="M462" s="147">
        <v>264.93</v>
      </c>
      <c r="N462" s="147">
        <v>433780</v>
      </c>
      <c r="O462" s="147" t="s">
        <v>208</v>
      </c>
      <c r="P462" s="151">
        <f t="shared" si="16"/>
        <v>-4.6804816366587954E-3</v>
      </c>
    </row>
    <row r="463" spans="2:16" ht="14.25" customHeight="1">
      <c r="B463" s="243">
        <v>542.35955667925089</v>
      </c>
      <c r="C463" s="243">
        <v>544.62171343667751</v>
      </c>
      <c r="D463" s="243">
        <v>541.51249357624965</v>
      </c>
      <c r="E463" s="243">
        <v>544.46226626434793</v>
      </c>
      <c r="F463" s="243">
        <v>3645347.3053656211</v>
      </c>
      <c r="G463" s="243" t="s">
        <v>207</v>
      </c>
      <c r="H463" s="151">
        <f t="shared" si="15"/>
        <v>-3.8619932277843549E-3</v>
      </c>
      <c r="J463" s="147">
        <v>262.31</v>
      </c>
      <c r="K463" s="147">
        <v>263.77</v>
      </c>
      <c r="L463" s="147">
        <v>257.89</v>
      </c>
      <c r="M463" s="147">
        <v>261.17</v>
      </c>
      <c r="N463" s="147">
        <v>490394</v>
      </c>
      <c r="O463" s="147" t="s">
        <v>207</v>
      </c>
      <c r="P463" s="151">
        <f t="shared" si="16"/>
        <v>4.3649730060879577E-3</v>
      </c>
    </row>
    <row r="464" spans="2:16" ht="14.25" customHeight="1">
      <c r="B464" s="243">
        <v>543.16675798916958</v>
      </c>
      <c r="C464" s="243">
        <v>544.24302640239466</v>
      </c>
      <c r="D464" s="243">
        <v>539.88812550814146</v>
      </c>
      <c r="E464" s="243">
        <v>540.96439392136654</v>
      </c>
      <c r="F464" s="243">
        <v>5325719.2811451089</v>
      </c>
      <c r="G464" s="243" t="s">
        <v>206</v>
      </c>
      <c r="H464" s="151">
        <f t="shared" si="15"/>
        <v>4.0711811951956722E-3</v>
      </c>
      <c r="J464" s="147">
        <v>261.77</v>
      </c>
      <c r="K464" s="147">
        <v>262.74</v>
      </c>
      <c r="L464" s="147">
        <v>253.93</v>
      </c>
      <c r="M464" s="147">
        <v>254.64</v>
      </c>
      <c r="N464" s="147">
        <v>617648</v>
      </c>
      <c r="O464" s="147" t="s">
        <v>206</v>
      </c>
      <c r="P464" s="151">
        <f t="shared" si="16"/>
        <v>2.8000314169022822E-2</v>
      </c>
    </row>
    <row r="465" spans="2:16" ht="14.25" customHeight="1">
      <c r="B465" s="243">
        <v>533.41058413225016</v>
      </c>
      <c r="C465" s="243">
        <v>536.04784036258229</v>
      </c>
      <c r="D465" s="243">
        <v>529.97738754854493</v>
      </c>
      <c r="E465" s="243">
        <v>535.46346647599421</v>
      </c>
      <c r="F465" s="243">
        <v>8850583.2959053349</v>
      </c>
      <c r="G465" s="243" t="s">
        <v>205</v>
      </c>
      <c r="H465" s="151">
        <f t="shared" si="15"/>
        <v>-3.8338420308196008E-3</v>
      </c>
      <c r="J465" s="147">
        <v>252.89</v>
      </c>
      <c r="K465" s="147">
        <v>254</v>
      </c>
      <c r="L465" s="147">
        <v>245.27</v>
      </c>
      <c r="M465" s="147">
        <v>248.32</v>
      </c>
      <c r="N465" s="147">
        <v>450393</v>
      </c>
      <c r="O465" s="147" t="s">
        <v>205</v>
      </c>
      <c r="P465" s="151">
        <f t="shared" si="16"/>
        <v>1.8403672680412431E-2</v>
      </c>
    </row>
    <row r="466" spans="2:16" ht="14.25" customHeight="1">
      <c r="B466" s="243">
        <v>532.7329336498492</v>
      </c>
      <c r="C466" s="243">
        <v>533.06179344277905</v>
      </c>
      <c r="D466" s="243">
        <v>527.19214441139434</v>
      </c>
      <c r="E466" s="243">
        <v>527.5708314456773</v>
      </c>
      <c r="F466" s="243">
        <v>5640499.9026304344</v>
      </c>
      <c r="G466" s="243" t="s">
        <v>204</v>
      </c>
      <c r="H466" s="151">
        <f t="shared" si="15"/>
        <v>9.7846618813750563E-3</v>
      </c>
      <c r="J466" s="147">
        <v>246.93</v>
      </c>
      <c r="K466" s="147">
        <v>248.54</v>
      </c>
      <c r="L466" s="147">
        <v>237.65</v>
      </c>
      <c r="M466" s="147">
        <v>238.63</v>
      </c>
      <c r="N466" s="147">
        <v>425411</v>
      </c>
      <c r="O466" s="147" t="s">
        <v>204</v>
      </c>
      <c r="P466" s="151">
        <f t="shared" si="16"/>
        <v>3.4781879897749723E-2</v>
      </c>
    </row>
    <row r="467" spans="2:16" ht="14.25" customHeight="1">
      <c r="B467" s="243">
        <v>532.04531771917766</v>
      </c>
      <c r="C467" s="243">
        <v>536.88852557869029</v>
      </c>
      <c r="D467" s="243">
        <v>530.16184799603388</v>
      </c>
      <c r="E467" s="243">
        <v>536.84866378560787</v>
      </c>
      <c r="F467" s="243">
        <v>7962714.5558606498</v>
      </c>
      <c r="G467" s="243" t="s">
        <v>203</v>
      </c>
      <c r="H467" s="151">
        <f t="shared" si="15"/>
        <v>-8.9473000315568596E-3</v>
      </c>
      <c r="J467" s="147">
        <v>250.62</v>
      </c>
      <c r="K467" s="147">
        <v>255.625</v>
      </c>
      <c r="L467" s="147">
        <v>247.94</v>
      </c>
      <c r="M467" s="147">
        <v>254.45</v>
      </c>
      <c r="N467" s="147">
        <v>467204</v>
      </c>
      <c r="O467" s="147" t="s">
        <v>203</v>
      </c>
      <c r="P467" s="151">
        <f t="shared" si="16"/>
        <v>-1.5052073098840602E-2</v>
      </c>
    </row>
    <row r="468" spans="2:16" ht="14.25" customHeight="1">
      <c r="B468" s="243">
        <v>540.26681254242442</v>
      </c>
      <c r="C468" s="243">
        <v>541.12384109369623</v>
      </c>
      <c r="D468" s="243">
        <v>536.22084054456002</v>
      </c>
      <c r="E468" s="243">
        <v>539.44964578423503</v>
      </c>
      <c r="F468" s="243">
        <v>4331966.6940975003</v>
      </c>
      <c r="G468" s="243" t="s">
        <v>202</v>
      </c>
      <c r="H468" s="151">
        <f t="shared" si="15"/>
        <v>1.5148156358530951E-3</v>
      </c>
      <c r="J468" s="147">
        <v>257.81</v>
      </c>
      <c r="K468" s="147">
        <v>258.52</v>
      </c>
      <c r="L468" s="147">
        <v>248.70500000000001</v>
      </c>
      <c r="M468" s="147">
        <v>252.19</v>
      </c>
      <c r="N468" s="147">
        <v>445238</v>
      </c>
      <c r="O468" s="147" t="s">
        <v>202</v>
      </c>
      <c r="P468" s="151">
        <f t="shared" si="16"/>
        <v>2.2284785280938912E-2</v>
      </c>
    </row>
    <row r="469" spans="2:16" ht="14.25" customHeight="1">
      <c r="B469" s="243">
        <v>539.53933481867045</v>
      </c>
      <c r="C469" s="243">
        <v>547.70103695229363</v>
      </c>
      <c r="D469" s="243">
        <v>537.69572688860899</v>
      </c>
      <c r="E469" s="243">
        <v>547.42200440071679</v>
      </c>
      <c r="F469" s="243">
        <v>5401899.496965358</v>
      </c>
      <c r="G469" s="243" t="s">
        <v>201</v>
      </c>
      <c r="H469" s="151">
        <f t="shared" si="15"/>
        <v>-1.439962135003281E-2</v>
      </c>
      <c r="J469" s="147">
        <v>252.23</v>
      </c>
      <c r="K469" s="147">
        <v>260.875</v>
      </c>
      <c r="L469" s="147">
        <v>238</v>
      </c>
      <c r="M469" s="147">
        <v>240.2</v>
      </c>
      <c r="N469" s="147">
        <v>1052684</v>
      </c>
      <c r="O469" s="147" t="s">
        <v>201</v>
      </c>
      <c r="P469" s="151">
        <f t="shared" si="16"/>
        <v>5.0083263946711032E-2</v>
      </c>
    </row>
    <row r="470" spans="2:16" ht="14.25" customHeight="1">
      <c r="B470" s="243">
        <v>545.67805095336143</v>
      </c>
      <c r="C470" s="243">
        <v>549.52471398581372</v>
      </c>
      <c r="D470" s="243">
        <v>543.93409750600608</v>
      </c>
      <c r="E470" s="243">
        <v>546.38559778057413</v>
      </c>
      <c r="F470" s="243">
        <v>6004180.4819267448</v>
      </c>
      <c r="G470" s="243" t="s">
        <v>200</v>
      </c>
      <c r="H470" s="151">
        <f t="shared" si="15"/>
        <v>-1.2949587801851514E-3</v>
      </c>
      <c r="J470" s="147">
        <v>237.28</v>
      </c>
      <c r="K470" s="147">
        <v>252.9</v>
      </c>
      <c r="L470" s="147">
        <v>222.59</v>
      </c>
      <c r="M470" s="147">
        <v>243.35</v>
      </c>
      <c r="N470" s="147">
        <v>1023630</v>
      </c>
      <c r="O470" s="147" t="s">
        <v>200</v>
      </c>
      <c r="P470" s="151">
        <f t="shared" si="16"/>
        <v>-2.4943497020751937E-2</v>
      </c>
    </row>
    <row r="471" spans="2:16" ht="14.25" customHeight="1">
      <c r="B471" s="243">
        <v>542.51900385158046</v>
      </c>
      <c r="C471" s="243">
        <v>542.99734536856943</v>
      </c>
      <c r="D471" s="243">
        <v>537.33697075086741</v>
      </c>
      <c r="E471" s="243">
        <v>538.32355012965706</v>
      </c>
      <c r="F471" s="243">
        <v>6441920.9509499632</v>
      </c>
      <c r="G471" s="243" t="s">
        <v>199</v>
      </c>
      <c r="H471" s="151">
        <f t="shared" si="15"/>
        <v>7.7935541198466129E-3</v>
      </c>
      <c r="J471" s="147">
        <v>241.97</v>
      </c>
      <c r="K471" s="147">
        <v>243.375</v>
      </c>
      <c r="L471" s="147">
        <v>239.76</v>
      </c>
      <c r="M471" s="147">
        <v>241.28</v>
      </c>
      <c r="N471" s="147">
        <v>170597</v>
      </c>
      <c r="O471" s="147" t="s">
        <v>199</v>
      </c>
      <c r="P471" s="151">
        <f t="shared" si="16"/>
        <v>2.8597480106100637E-3</v>
      </c>
    </row>
    <row r="472" spans="2:16" ht="14.25" customHeight="1">
      <c r="B472" s="243">
        <v>535.60298275178263</v>
      </c>
      <c r="C472" s="243">
        <v>541.66187564582594</v>
      </c>
      <c r="D472" s="243">
        <v>531.95064596060683</v>
      </c>
      <c r="E472" s="243">
        <v>540.14722716317715</v>
      </c>
      <c r="F472" s="243">
        <v>7167462.8235950079</v>
      </c>
      <c r="G472" s="243" t="s">
        <v>198</v>
      </c>
      <c r="H472" s="151">
        <f t="shared" si="15"/>
        <v>-8.4129736910075748E-3</v>
      </c>
      <c r="J472" s="147">
        <v>239.99</v>
      </c>
      <c r="K472" s="147">
        <v>243.15</v>
      </c>
      <c r="L472" s="147">
        <v>237.63499999999999</v>
      </c>
      <c r="M472" s="147">
        <v>238.84</v>
      </c>
      <c r="N472" s="147">
        <v>145808</v>
      </c>
      <c r="O472" s="147" t="s">
        <v>198</v>
      </c>
      <c r="P472" s="151">
        <f t="shared" ref="P472:P503" si="17">J472/M472-1</f>
        <v>4.8149388712108721E-3</v>
      </c>
    </row>
    <row r="473" spans="2:16" ht="14.25" customHeight="1">
      <c r="B473" s="243">
        <v>536.94831826831387</v>
      </c>
      <c r="C473" s="243">
        <v>541.1887161619378</v>
      </c>
      <c r="D473" s="243">
        <v>535.54328971664165</v>
      </c>
      <c r="E473" s="243">
        <v>540.57574143881311</v>
      </c>
      <c r="F473" s="243">
        <v>6061694.2017752314</v>
      </c>
      <c r="G473" s="243" t="s">
        <v>197</v>
      </c>
      <c r="H473" s="151">
        <f t="shared" si="15"/>
        <v>-6.7102958798046508E-3</v>
      </c>
      <c r="J473" s="147">
        <v>237.48</v>
      </c>
      <c r="K473" s="147">
        <v>241.89</v>
      </c>
      <c r="L473" s="147">
        <v>236.62</v>
      </c>
      <c r="M473" s="147">
        <v>241.04</v>
      </c>
      <c r="N473" s="147">
        <v>189833</v>
      </c>
      <c r="O473" s="147" t="s">
        <v>197</v>
      </c>
      <c r="P473" s="151">
        <f t="shared" si="17"/>
        <v>-1.4769332890806508E-2</v>
      </c>
    </row>
    <row r="474" spans="2:16" ht="14.25" customHeight="1">
      <c r="B474" s="243">
        <v>539.12078599130518</v>
      </c>
      <c r="C474" s="243">
        <v>542.21007495519189</v>
      </c>
      <c r="D474" s="243">
        <v>535.54319006215894</v>
      </c>
      <c r="E474" s="243">
        <v>538.69227171566922</v>
      </c>
      <c r="F474" s="243">
        <v>6527643.1359238243</v>
      </c>
      <c r="G474" s="243" t="s">
        <v>196</v>
      </c>
      <c r="H474" s="151">
        <f t="shared" si="15"/>
        <v>7.9547136303115273E-4</v>
      </c>
      <c r="J474" s="147">
        <v>238.18</v>
      </c>
      <c r="K474" s="147">
        <v>240.51</v>
      </c>
      <c r="L474" s="147">
        <v>234.55</v>
      </c>
      <c r="M474" s="147">
        <v>238.35</v>
      </c>
      <c r="N474" s="147">
        <v>196502</v>
      </c>
      <c r="O474" s="147" t="s">
        <v>196</v>
      </c>
      <c r="P474" s="151">
        <f t="shared" si="17"/>
        <v>-7.132368365847519E-4</v>
      </c>
    </row>
    <row r="475" spans="2:16" ht="14.25" customHeight="1">
      <c r="B475" s="243">
        <v>545.1897439881019</v>
      </c>
      <c r="C475" s="243">
        <v>547.72096784883479</v>
      </c>
      <c r="D475" s="243">
        <v>541.32324971359094</v>
      </c>
      <c r="E475" s="243">
        <v>547.47183164206979</v>
      </c>
      <c r="F475" s="243">
        <v>7101672.5066722762</v>
      </c>
      <c r="G475" s="243" t="s">
        <v>195</v>
      </c>
      <c r="H475" s="151">
        <f t="shared" si="15"/>
        <v>-4.1684110890656267E-3</v>
      </c>
      <c r="J475" s="147">
        <v>239.85</v>
      </c>
      <c r="K475" s="147">
        <v>241.89</v>
      </c>
      <c r="L475" s="147">
        <v>236.93</v>
      </c>
      <c r="M475" s="147">
        <v>238.47</v>
      </c>
      <c r="N475" s="147">
        <v>294374</v>
      </c>
      <c r="O475" s="147" t="s">
        <v>195</v>
      </c>
      <c r="P475" s="151">
        <f t="shared" si="17"/>
        <v>5.7868914328846888E-3</v>
      </c>
    </row>
    <row r="476" spans="2:16" ht="14.25" customHeight="1">
      <c r="B476" s="243">
        <v>550.8999458471568</v>
      </c>
      <c r="C476" s="243">
        <v>552.05593784654673</v>
      </c>
      <c r="D476" s="243">
        <v>548.02003095143561</v>
      </c>
      <c r="E476" s="243">
        <v>549.29550867558999</v>
      </c>
      <c r="F476" s="243">
        <v>4511857.2470682478</v>
      </c>
      <c r="G476" s="243" t="s">
        <v>194</v>
      </c>
      <c r="H476" s="151">
        <f t="shared" si="15"/>
        <v>2.9208998548619913E-3</v>
      </c>
      <c r="J476" s="147">
        <v>240.54</v>
      </c>
      <c r="K476" s="147">
        <v>241.92</v>
      </c>
      <c r="L476" s="147">
        <v>238.54</v>
      </c>
      <c r="M476" s="147">
        <v>238.79</v>
      </c>
      <c r="N476" s="147">
        <v>180617</v>
      </c>
      <c r="O476" s="147" t="s">
        <v>194</v>
      </c>
      <c r="P476" s="151">
        <f t="shared" si="17"/>
        <v>7.3286151011349165E-3</v>
      </c>
    </row>
    <row r="477" spans="2:16" ht="14.25" customHeight="1">
      <c r="B477" s="243">
        <v>550.90991129542749</v>
      </c>
      <c r="C477" s="243">
        <v>550.98963488159222</v>
      </c>
      <c r="D477" s="243">
        <v>545.64815460854948</v>
      </c>
      <c r="E477" s="243">
        <v>546.16635791862086</v>
      </c>
      <c r="F477" s="243">
        <v>3451174.4044126086</v>
      </c>
      <c r="G477" s="243" t="s">
        <v>193</v>
      </c>
      <c r="H477" s="151">
        <f t="shared" si="15"/>
        <v>8.6851804546947964E-3</v>
      </c>
      <c r="J477" s="147">
        <v>240.36</v>
      </c>
      <c r="K477" s="147">
        <v>241.82</v>
      </c>
      <c r="L477" s="147">
        <v>239.59</v>
      </c>
      <c r="M477" s="147">
        <v>241.82</v>
      </c>
      <c r="N477" s="147">
        <v>88821</v>
      </c>
      <c r="O477" s="147" t="s">
        <v>193</v>
      </c>
      <c r="P477" s="151">
        <f t="shared" si="17"/>
        <v>-6.0375485898601644E-3</v>
      </c>
    </row>
    <row r="478" spans="2:16" ht="14.25" customHeight="1">
      <c r="B478" s="243">
        <v>545.29936391907859</v>
      </c>
      <c r="C478" s="243">
        <v>545.46877653967874</v>
      </c>
      <c r="D478" s="243">
        <v>538.45310095717491</v>
      </c>
      <c r="E478" s="243">
        <v>541.43276999008481</v>
      </c>
      <c r="F478" s="243">
        <v>7087844.7293101177</v>
      </c>
      <c r="G478" s="243" t="s">
        <v>192</v>
      </c>
      <c r="H478" s="151">
        <f t="shared" si="15"/>
        <v>7.1414109808398685E-3</v>
      </c>
      <c r="J478" s="147">
        <v>240.55</v>
      </c>
      <c r="K478" s="147">
        <v>245.74</v>
      </c>
      <c r="L478" s="147">
        <v>237.68010000000001</v>
      </c>
      <c r="M478" s="147">
        <v>243</v>
      </c>
      <c r="N478" s="147">
        <v>213495</v>
      </c>
      <c r="O478" s="147" t="s">
        <v>192</v>
      </c>
      <c r="P478" s="151">
        <f t="shared" si="17"/>
        <v>-1.0082304526748964E-2</v>
      </c>
    </row>
    <row r="479" spans="2:16" ht="14.25" customHeight="1">
      <c r="B479" s="243">
        <v>541.42429935905466</v>
      </c>
      <c r="C479" s="243">
        <v>545.89444714108117</v>
      </c>
      <c r="D479" s="243">
        <v>532.29526422198273</v>
      </c>
      <c r="E479" s="243">
        <v>533.05022251405831</v>
      </c>
      <c r="F479" s="243">
        <v>9452116.6995613053</v>
      </c>
      <c r="G479" s="243" t="s">
        <v>191</v>
      </c>
      <c r="H479" s="151">
        <f t="shared" si="15"/>
        <v>1.5709733325879105E-2</v>
      </c>
      <c r="J479" s="147">
        <v>242.54</v>
      </c>
      <c r="K479" s="147">
        <v>245.89</v>
      </c>
      <c r="L479" s="147">
        <v>241.23500000000001</v>
      </c>
      <c r="M479" s="147">
        <v>242</v>
      </c>
      <c r="N479" s="147">
        <v>948331</v>
      </c>
      <c r="O479" s="147" t="s">
        <v>191</v>
      </c>
      <c r="P479" s="151">
        <f t="shared" si="17"/>
        <v>2.2314049586775742E-3</v>
      </c>
    </row>
    <row r="480" spans="2:16" ht="14.25" customHeight="1">
      <c r="B480" s="243">
        <v>535.36476569897434</v>
      </c>
      <c r="C480" s="243">
        <v>541.48390132948168</v>
      </c>
      <c r="D480" s="243">
        <v>535.07668950857703</v>
      </c>
      <c r="E480" s="243">
        <v>540.08325502444677</v>
      </c>
      <c r="F480" s="243">
        <v>16904264.956033021</v>
      </c>
      <c r="G480" s="243" t="s">
        <v>190</v>
      </c>
      <c r="H480" s="151">
        <f t="shared" si="15"/>
        <v>-8.7365962221117588E-3</v>
      </c>
      <c r="J480" s="147">
        <v>243.52</v>
      </c>
      <c r="K480" s="147">
        <v>245.56</v>
      </c>
      <c r="L480" s="147">
        <v>235.75479999999999</v>
      </c>
      <c r="M480" s="147">
        <v>238.71</v>
      </c>
      <c r="N480" s="147">
        <v>439284</v>
      </c>
      <c r="O480" s="147" t="s">
        <v>190</v>
      </c>
      <c r="P480" s="151">
        <f t="shared" si="17"/>
        <v>2.0149972770307167E-2</v>
      </c>
    </row>
    <row r="481" spans="2:16" ht="14.25" customHeight="1">
      <c r="B481" s="243">
        <v>535.56343893373094</v>
      </c>
      <c r="C481" s="243">
        <v>553.83144286961283</v>
      </c>
      <c r="D481" s="243">
        <v>534.95748556772298</v>
      </c>
      <c r="E481" s="243">
        <v>551.61623630207521</v>
      </c>
      <c r="F481" s="243">
        <v>24749111.303395186</v>
      </c>
      <c r="G481" s="243" t="s">
        <v>189</v>
      </c>
      <c r="H481" s="151">
        <f t="shared" si="15"/>
        <v>-2.9101386637853555E-2</v>
      </c>
      <c r="J481" s="147">
        <v>238.9</v>
      </c>
      <c r="K481" s="147">
        <v>247.92500000000001</v>
      </c>
      <c r="L481" s="147">
        <v>238.7</v>
      </c>
      <c r="M481" s="147">
        <v>246.54</v>
      </c>
      <c r="N481" s="147">
        <v>472034</v>
      </c>
      <c r="O481" s="147" t="s">
        <v>189</v>
      </c>
      <c r="P481" s="151">
        <f t="shared" si="17"/>
        <v>-3.0988886184797559E-2</v>
      </c>
    </row>
    <row r="482" spans="2:16" ht="14.25" customHeight="1">
      <c r="B482" s="243">
        <v>551.76524122814283</v>
      </c>
      <c r="C482" s="243">
        <v>552.69403860063051</v>
      </c>
      <c r="D482" s="243">
        <v>550.61293646655361</v>
      </c>
      <c r="E482" s="243">
        <v>551.78510855161846</v>
      </c>
      <c r="F482" s="243">
        <v>6151689.2373373276</v>
      </c>
      <c r="G482" s="243" t="s">
        <v>188</v>
      </c>
      <c r="H482" s="151">
        <f t="shared" si="15"/>
        <v>-3.6005544853834337E-5</v>
      </c>
      <c r="J482" s="147">
        <v>247.55</v>
      </c>
      <c r="K482" s="147">
        <v>251.28</v>
      </c>
      <c r="L482" s="147">
        <v>244.64</v>
      </c>
      <c r="M482" s="147">
        <v>250.08</v>
      </c>
      <c r="N482" s="147">
        <v>336442</v>
      </c>
      <c r="O482" s="147" t="s">
        <v>188</v>
      </c>
      <c r="P482" s="151">
        <f t="shared" si="17"/>
        <v>-1.0116762635956511E-2</v>
      </c>
    </row>
    <row r="483" spans="2:16" ht="14.25" customHeight="1">
      <c r="B483" s="243">
        <v>554.08971807479656</v>
      </c>
      <c r="C483" s="243">
        <v>555.09132918782268</v>
      </c>
      <c r="D483" s="243">
        <v>552.72383958584396</v>
      </c>
      <c r="E483" s="243">
        <v>553.43409640009929</v>
      </c>
      <c r="F483" s="243">
        <v>22999352.708959177</v>
      </c>
      <c r="G483" s="243" t="s">
        <v>187</v>
      </c>
      <c r="H483" s="151">
        <f t="shared" si="15"/>
        <v>1.1846427225243872E-3</v>
      </c>
      <c r="J483" s="147">
        <v>247.24</v>
      </c>
      <c r="K483" s="147">
        <v>250.37</v>
      </c>
      <c r="L483" s="147">
        <v>243.7354</v>
      </c>
      <c r="M483" s="147">
        <v>245</v>
      </c>
      <c r="N483" s="147">
        <v>324263</v>
      </c>
      <c r="O483" s="147" t="s">
        <v>187</v>
      </c>
      <c r="P483" s="151">
        <f t="shared" si="17"/>
        <v>9.1428571428571193E-3</v>
      </c>
    </row>
    <row r="484" spans="2:16" ht="14.25" customHeight="1">
      <c r="B484" s="243">
        <v>551.92417981594815</v>
      </c>
      <c r="C484" s="243">
        <v>554.45726355909653</v>
      </c>
      <c r="D484" s="243">
        <v>550.5279043220778</v>
      </c>
      <c r="E484" s="243">
        <v>553.81157554613708</v>
      </c>
      <c r="F484" s="243">
        <v>4698028.9073304981</v>
      </c>
      <c r="G484" s="243" t="s">
        <v>186</v>
      </c>
      <c r="H484" s="151">
        <f t="shared" si="15"/>
        <v>-3.4080106186434866E-3</v>
      </c>
      <c r="J484" s="147">
        <v>245.55</v>
      </c>
      <c r="K484" s="147">
        <v>251.74</v>
      </c>
      <c r="L484" s="147">
        <v>244.37</v>
      </c>
      <c r="M484" s="147">
        <v>251.59</v>
      </c>
      <c r="N484" s="147">
        <v>240273</v>
      </c>
      <c r="O484" s="147" t="s">
        <v>186</v>
      </c>
      <c r="P484" s="151">
        <f t="shared" si="17"/>
        <v>-2.4007313486227533E-2</v>
      </c>
    </row>
    <row r="485" spans="2:16" ht="14.25" customHeight="1">
      <c r="B485" s="243">
        <v>551.96391446289942</v>
      </c>
      <c r="C485" s="243">
        <v>554.49699820604792</v>
      </c>
      <c r="D485" s="243">
        <v>551.93411347768597</v>
      </c>
      <c r="E485" s="243">
        <v>553.97051413394252</v>
      </c>
      <c r="F485" s="243">
        <v>4075639.0813863762</v>
      </c>
      <c r="G485" s="243" t="s">
        <v>185</v>
      </c>
      <c r="H485" s="151">
        <f t="shared" si="15"/>
        <v>-3.6222138540715765E-3</v>
      </c>
      <c r="J485" s="147">
        <v>252.26</v>
      </c>
      <c r="K485" s="147">
        <v>254.57499999999999</v>
      </c>
      <c r="L485" s="147">
        <v>243.36</v>
      </c>
      <c r="M485" s="147">
        <v>251.08</v>
      </c>
      <c r="N485" s="147">
        <v>409509</v>
      </c>
      <c r="O485" s="147" t="s">
        <v>185</v>
      </c>
      <c r="P485" s="151">
        <f t="shared" si="17"/>
        <v>4.6996973076309789E-3</v>
      </c>
    </row>
    <row r="486" spans="2:16" ht="14.25" customHeight="1">
      <c r="B486" s="243">
        <v>554.8248090433965</v>
      </c>
      <c r="C486" s="243">
        <v>555.67910395285048</v>
      </c>
      <c r="D486" s="243">
        <v>552.96721429842103</v>
      </c>
      <c r="E486" s="243">
        <v>553.22548950360476</v>
      </c>
      <c r="F486" s="243">
        <v>3537886.7257114095</v>
      </c>
      <c r="G486" s="243" t="s">
        <v>184</v>
      </c>
      <c r="H486" s="151">
        <f t="shared" si="15"/>
        <v>2.8908999497234689E-3</v>
      </c>
      <c r="J486" s="147">
        <v>253.66</v>
      </c>
      <c r="K486" s="147">
        <v>259.27</v>
      </c>
      <c r="L486" s="147">
        <v>247.55500000000001</v>
      </c>
      <c r="M486" s="147">
        <v>250</v>
      </c>
      <c r="N486" s="147">
        <v>679290</v>
      </c>
      <c r="O486" s="147" t="s">
        <v>184</v>
      </c>
      <c r="P486" s="151">
        <f t="shared" si="17"/>
        <v>1.4639999999999986E-2</v>
      </c>
    </row>
    <row r="487" spans="2:16" ht="14.25" customHeight="1">
      <c r="B487" s="243">
        <v>550.65267111350511</v>
      </c>
      <c r="C487" s="243">
        <v>553.18575485665338</v>
      </c>
      <c r="D487" s="243">
        <v>549.89771282142954</v>
      </c>
      <c r="E487" s="243">
        <v>552.88774500451837</v>
      </c>
      <c r="F487" s="243">
        <v>4137560.8597027324</v>
      </c>
      <c r="G487" s="243" t="s">
        <v>183</v>
      </c>
      <c r="H487" s="151">
        <f t="shared" si="15"/>
        <v>-4.0425455460131321E-3</v>
      </c>
      <c r="J487" s="147">
        <v>242.27</v>
      </c>
      <c r="K487" s="147">
        <v>245.3</v>
      </c>
      <c r="L487" s="147">
        <v>240.47</v>
      </c>
      <c r="M487" s="147">
        <v>244.29</v>
      </c>
      <c r="N487" s="147">
        <v>239072</v>
      </c>
      <c r="O487" s="147" t="s">
        <v>183</v>
      </c>
      <c r="P487" s="151">
        <f t="shared" si="17"/>
        <v>-8.2688607802201552E-3</v>
      </c>
    </row>
    <row r="488" spans="2:16" ht="14.25" customHeight="1">
      <c r="B488" s="243">
        <v>552.22218966808327</v>
      </c>
      <c r="C488" s="243">
        <v>555.15758671161404</v>
      </c>
      <c r="D488" s="243">
        <v>551.69570559597787</v>
      </c>
      <c r="E488" s="243">
        <v>555.00361495467757</v>
      </c>
      <c r="F488" s="243">
        <v>4441741.7428196585</v>
      </c>
      <c r="G488" s="243" t="s">
        <v>182</v>
      </c>
      <c r="H488" s="151">
        <f t="shared" si="15"/>
        <v>-5.0115444506094731E-3</v>
      </c>
      <c r="J488" s="147">
        <v>240.86</v>
      </c>
      <c r="K488" s="147">
        <v>241.97499999999999</v>
      </c>
      <c r="L488" s="147">
        <v>236.62</v>
      </c>
      <c r="M488" s="147">
        <v>237.6</v>
      </c>
      <c r="N488" s="147">
        <v>170697</v>
      </c>
      <c r="O488" s="147" t="s">
        <v>182</v>
      </c>
      <c r="P488" s="151">
        <f t="shared" si="17"/>
        <v>1.37205387205388E-2</v>
      </c>
    </row>
    <row r="489" spans="2:16" ht="14.25" customHeight="1">
      <c r="B489" s="243">
        <v>555.1128852337938</v>
      </c>
      <c r="C489" s="243">
        <v>556.24532267190716</v>
      </c>
      <c r="D489" s="243">
        <v>554.37779426519387</v>
      </c>
      <c r="E489" s="243">
        <v>554.76520707296947</v>
      </c>
      <c r="F489" s="243">
        <v>5169171.3846481517</v>
      </c>
      <c r="G489" s="243" t="s">
        <v>181</v>
      </c>
      <c r="H489" s="151">
        <f t="shared" si="15"/>
        <v>6.2671226744503983E-4</v>
      </c>
      <c r="J489" s="147">
        <v>237.23</v>
      </c>
      <c r="K489" s="147">
        <v>245.3</v>
      </c>
      <c r="L489" s="147">
        <v>236.60499999999999</v>
      </c>
      <c r="M489" s="147">
        <v>244.97</v>
      </c>
      <c r="N489" s="147">
        <v>203865</v>
      </c>
      <c r="O489" s="147" t="s">
        <v>181</v>
      </c>
      <c r="P489" s="151">
        <f t="shared" si="17"/>
        <v>-3.159570559660374E-2</v>
      </c>
    </row>
    <row r="490" spans="2:16" ht="14.25" customHeight="1">
      <c r="B490" s="243">
        <v>554.0102487808939</v>
      </c>
      <c r="C490" s="243">
        <v>555.69897127632612</v>
      </c>
      <c r="D490" s="243">
        <v>553.76190723744799</v>
      </c>
      <c r="E490" s="243">
        <v>554.9241456607748</v>
      </c>
      <c r="F490" s="243">
        <v>3041739.3703784416</v>
      </c>
      <c r="G490" s="243" t="s">
        <v>180</v>
      </c>
      <c r="H490" s="151">
        <f t="shared" si="15"/>
        <v>-1.6468861321445871E-3</v>
      </c>
      <c r="J490" s="147">
        <v>242.7</v>
      </c>
      <c r="K490" s="147">
        <v>248.60499999999999</v>
      </c>
      <c r="L490" s="147">
        <v>242.3</v>
      </c>
      <c r="M490" s="147">
        <v>247.42</v>
      </c>
      <c r="N490" s="147">
        <v>194691</v>
      </c>
      <c r="O490" s="147" t="s">
        <v>180</v>
      </c>
      <c r="P490" s="151">
        <f t="shared" si="17"/>
        <v>-1.9076873332794397E-2</v>
      </c>
    </row>
    <row r="491" spans="2:16" ht="14.25" customHeight="1">
      <c r="B491" s="243">
        <v>554.93407932251262</v>
      </c>
      <c r="C491" s="243">
        <v>555.17248720422072</v>
      </c>
      <c r="D491" s="243">
        <v>552.48145823944083</v>
      </c>
      <c r="E491" s="243">
        <v>553.13608654796428</v>
      </c>
      <c r="F491" s="243">
        <v>5526986.0650556246</v>
      </c>
      <c r="G491" s="243" t="s">
        <v>179</v>
      </c>
      <c r="H491" s="151">
        <f t="shared" si="15"/>
        <v>3.2505432537757173E-3</v>
      </c>
      <c r="J491" s="147">
        <v>249.08</v>
      </c>
      <c r="K491" s="147">
        <v>250.63</v>
      </c>
      <c r="L491" s="147">
        <v>244.1</v>
      </c>
      <c r="M491" s="147">
        <v>244.88</v>
      </c>
      <c r="N491" s="147">
        <v>233870</v>
      </c>
      <c r="O491" s="147" t="s">
        <v>179</v>
      </c>
      <c r="P491" s="151">
        <f t="shared" si="17"/>
        <v>1.7151257758902361E-2</v>
      </c>
    </row>
    <row r="492" spans="2:16" ht="14.25" customHeight="1">
      <c r="B492" s="243">
        <v>551.45729771426977</v>
      </c>
      <c r="C492" s="243">
        <v>551.74547324128446</v>
      </c>
      <c r="D492" s="243">
        <v>550.11625337966177</v>
      </c>
      <c r="E492" s="243">
        <v>551.11955321518337</v>
      </c>
      <c r="F492" s="243">
        <v>4230973.5432115309</v>
      </c>
      <c r="G492" s="243" t="s">
        <v>178</v>
      </c>
      <c r="H492" s="151">
        <f t="shared" si="15"/>
        <v>6.1283345349671947E-4</v>
      </c>
      <c r="J492" s="147">
        <v>245.24</v>
      </c>
      <c r="K492" s="147">
        <v>246.77</v>
      </c>
      <c r="L492" s="147">
        <v>242.7</v>
      </c>
      <c r="M492" s="147">
        <v>244.11</v>
      </c>
      <c r="N492" s="147">
        <v>281939</v>
      </c>
      <c r="O492" s="147" t="s">
        <v>178</v>
      </c>
      <c r="P492" s="151">
        <f t="shared" si="17"/>
        <v>4.6290606693704106E-3</v>
      </c>
    </row>
    <row r="493" spans="2:16" ht="14.25" customHeight="1">
      <c r="B493" s="243">
        <v>551.3281601116779</v>
      </c>
      <c r="C493" s="243">
        <v>551.88444516899688</v>
      </c>
      <c r="D493" s="243">
        <v>550.21558999704018</v>
      </c>
      <c r="E493" s="243">
        <v>550.68247209871856</v>
      </c>
      <c r="F493" s="243">
        <v>5477346.7665760098</v>
      </c>
      <c r="G493" s="243" t="s">
        <v>177</v>
      </c>
      <c r="H493" s="151">
        <f t="shared" si="15"/>
        <v>1.1725232700772192E-3</v>
      </c>
      <c r="J493" s="147">
        <v>244.84</v>
      </c>
      <c r="K493" s="147">
        <v>245.66</v>
      </c>
      <c r="L493" s="147">
        <v>241.91</v>
      </c>
      <c r="M493" s="147">
        <v>243.01</v>
      </c>
      <c r="N493" s="147">
        <v>224078</v>
      </c>
      <c r="O493" s="147" t="s">
        <v>177</v>
      </c>
      <c r="P493" s="151">
        <f t="shared" si="17"/>
        <v>7.5305542981771723E-3</v>
      </c>
    </row>
    <row r="494" spans="2:16" ht="14.25" customHeight="1">
      <c r="B494" s="243">
        <v>549.77850888057549</v>
      </c>
      <c r="C494" s="243">
        <v>551.02021659780507</v>
      </c>
      <c r="D494" s="243">
        <v>547.41429738697036</v>
      </c>
      <c r="E494" s="243">
        <v>547.6328379452026</v>
      </c>
      <c r="F494" s="243">
        <v>4015364.2284870273</v>
      </c>
      <c r="G494" s="243" t="s">
        <v>176</v>
      </c>
      <c r="H494" s="151">
        <f t="shared" si="15"/>
        <v>3.9180830415936896E-3</v>
      </c>
      <c r="J494" s="147">
        <v>244.12</v>
      </c>
      <c r="K494" s="147">
        <v>246.61</v>
      </c>
      <c r="L494" s="147">
        <v>242.3</v>
      </c>
      <c r="M494" s="147">
        <v>242.56</v>
      </c>
      <c r="N494" s="147">
        <v>114677</v>
      </c>
      <c r="O494" s="147" t="s">
        <v>176</v>
      </c>
      <c r="P494" s="151">
        <f t="shared" si="17"/>
        <v>6.4313984168864469E-3</v>
      </c>
    </row>
    <row r="495" spans="2:16" ht="14.25" customHeight="1">
      <c r="B495" s="243">
        <v>546.89774697660266</v>
      </c>
      <c r="C495" s="243">
        <v>548.71560707462686</v>
      </c>
      <c r="D495" s="243">
        <v>545.46729968635429</v>
      </c>
      <c r="E495" s="243">
        <v>548.37786257554035</v>
      </c>
      <c r="F495" s="243">
        <v>3334338.4216355425</v>
      </c>
      <c r="G495" s="243" t="s">
        <v>175</v>
      </c>
      <c r="H495" s="151">
        <f t="shared" si="15"/>
        <v>-2.6990797768278174E-3</v>
      </c>
      <c r="J495" s="147">
        <v>244.15</v>
      </c>
      <c r="K495" s="147">
        <v>250.81</v>
      </c>
      <c r="L495" s="147">
        <v>240.3</v>
      </c>
      <c r="M495" s="147">
        <v>249.86</v>
      </c>
      <c r="N495" s="147">
        <v>271479</v>
      </c>
      <c r="O495" s="147" t="s">
        <v>175</v>
      </c>
      <c r="P495" s="151">
        <f t="shared" si="17"/>
        <v>-2.2852797566637384E-2</v>
      </c>
    </row>
    <row r="496" spans="2:16" ht="14.25" customHeight="1">
      <c r="B496" s="243">
        <v>548.64607144246202</v>
      </c>
      <c r="C496" s="243">
        <v>549.15258885447429</v>
      </c>
      <c r="D496" s="243">
        <v>546.20239065495423</v>
      </c>
      <c r="E496" s="243">
        <v>546.84807866791357</v>
      </c>
      <c r="F496" s="243">
        <v>4468215.3642233675</v>
      </c>
      <c r="G496" s="243" t="s">
        <v>174</v>
      </c>
      <c r="H496" s="151">
        <f t="shared" si="15"/>
        <v>3.2879200726612101E-3</v>
      </c>
      <c r="J496" s="147">
        <v>248.96</v>
      </c>
      <c r="K496" s="147">
        <v>250.94499999999999</v>
      </c>
      <c r="L496" s="147">
        <v>244.02</v>
      </c>
      <c r="M496" s="147">
        <v>245.68</v>
      </c>
      <c r="N496" s="147">
        <v>297557</v>
      </c>
      <c r="O496" s="147" t="s">
        <v>174</v>
      </c>
      <c r="P496" s="151">
        <f t="shared" si="17"/>
        <v>1.3350700097688017E-2</v>
      </c>
    </row>
    <row r="497" spans="2:16" ht="14.25" customHeight="1">
      <c r="B497" s="243">
        <v>545.58650362720834</v>
      </c>
      <c r="C497" s="243">
        <v>548.71560707462686</v>
      </c>
      <c r="D497" s="243">
        <v>543.56987095781005</v>
      </c>
      <c r="E497" s="243">
        <v>547.54343498956223</v>
      </c>
      <c r="F497" s="243">
        <v>4333750.3466647081</v>
      </c>
      <c r="G497" s="243" t="s">
        <v>173</v>
      </c>
      <c r="H497" s="151">
        <f t="shared" si="15"/>
        <v>-3.5740203193034281E-3</v>
      </c>
      <c r="J497" s="147">
        <v>244.68</v>
      </c>
      <c r="K497" s="147">
        <v>249.86</v>
      </c>
      <c r="L497" s="147">
        <v>243.875</v>
      </c>
      <c r="M497" s="147">
        <v>247.29</v>
      </c>
      <c r="N497" s="147">
        <v>422387</v>
      </c>
      <c r="O497" s="147" t="s">
        <v>173</v>
      </c>
      <c r="P497" s="151">
        <f t="shared" si="17"/>
        <v>-1.0554409802256415E-2</v>
      </c>
    </row>
    <row r="498" spans="2:16" ht="14.25" customHeight="1">
      <c r="B498" s="243">
        <v>543.8381791613491</v>
      </c>
      <c r="C498" s="243">
        <v>544.41393419567407</v>
      </c>
      <c r="D498" s="243">
        <v>541.75211019640335</v>
      </c>
      <c r="E498" s="243">
        <v>542.19912497460598</v>
      </c>
      <c r="F498" s="243">
        <v>5611815.81084718</v>
      </c>
      <c r="G498" s="243" t="s">
        <v>172</v>
      </c>
      <c r="H498" s="151">
        <f t="shared" si="15"/>
        <v>3.0229746070133956E-3</v>
      </c>
      <c r="J498" s="147">
        <v>244.84</v>
      </c>
      <c r="K498" s="147">
        <v>245.21</v>
      </c>
      <c r="L498" s="147">
        <v>237.92</v>
      </c>
      <c r="M498" s="147">
        <v>240</v>
      </c>
      <c r="N498" s="147">
        <v>251999</v>
      </c>
      <c r="O498" s="147" t="s">
        <v>172</v>
      </c>
      <c r="P498" s="151">
        <f t="shared" si="17"/>
        <v>2.0166666666666666E-2</v>
      </c>
    </row>
    <row r="499" spans="2:16" ht="14.25" customHeight="1">
      <c r="B499" s="243">
        <v>542.02031906332491</v>
      </c>
      <c r="C499" s="243">
        <v>543.44083269183557</v>
      </c>
      <c r="D499" s="243">
        <v>536.45746849013631</v>
      </c>
      <c r="E499" s="243">
        <v>541.96071709289788</v>
      </c>
      <c r="F499" s="243">
        <v>4560875.0524926046</v>
      </c>
      <c r="G499" s="243" t="s">
        <v>171</v>
      </c>
      <c r="H499" s="151">
        <f t="shared" si="15"/>
        <v>1.0997470581775026E-4</v>
      </c>
      <c r="J499" s="147">
        <v>240.49</v>
      </c>
      <c r="K499" s="147">
        <v>241</v>
      </c>
      <c r="L499" s="147">
        <v>235.93</v>
      </c>
      <c r="M499" s="147">
        <v>237.29</v>
      </c>
      <c r="N499" s="147">
        <v>203330</v>
      </c>
      <c r="O499" s="147" t="s">
        <v>171</v>
      </c>
      <c r="P499" s="151">
        <f t="shared" si="17"/>
        <v>1.3485608327363119E-2</v>
      </c>
    </row>
    <row r="500" spans="2:16" ht="14.25" customHeight="1">
      <c r="B500" s="243">
        <v>539.29849574715763</v>
      </c>
      <c r="C500" s="243">
        <v>539.46736799670089</v>
      </c>
      <c r="D500" s="243">
        <v>533.87471643829883</v>
      </c>
      <c r="E500" s="243">
        <v>539.17929180630358</v>
      </c>
      <c r="F500" s="243">
        <v>3975432.327193358</v>
      </c>
      <c r="G500" s="243" t="s">
        <v>170</v>
      </c>
      <c r="H500" s="151">
        <f t="shared" si="15"/>
        <v>2.2108404878595778E-4</v>
      </c>
      <c r="J500" s="147">
        <v>239.2</v>
      </c>
      <c r="K500" s="147">
        <v>242.95</v>
      </c>
      <c r="L500" s="147">
        <v>235.29</v>
      </c>
      <c r="M500" s="147">
        <v>235.29</v>
      </c>
      <c r="N500" s="147">
        <v>248896</v>
      </c>
      <c r="O500" s="147" t="s">
        <v>170</v>
      </c>
      <c r="P500" s="151">
        <f t="shared" si="17"/>
        <v>1.6617790811339184E-2</v>
      </c>
    </row>
    <row r="501" spans="2:16" ht="14.25" customHeight="1">
      <c r="B501" s="243">
        <v>539.09982251240092</v>
      </c>
      <c r="C501" s="243">
        <v>539.76537784883601</v>
      </c>
      <c r="D501" s="243">
        <v>533.3382987044555</v>
      </c>
      <c r="E501" s="243">
        <v>533.93431840872574</v>
      </c>
      <c r="F501" s="243">
        <v>7024975.4664181583</v>
      </c>
      <c r="G501" s="243" t="s">
        <v>169</v>
      </c>
      <c r="H501" s="151">
        <f t="shared" si="15"/>
        <v>9.674418604651347E-3</v>
      </c>
      <c r="J501" s="147">
        <v>237.11</v>
      </c>
      <c r="K501" s="147">
        <v>239.35</v>
      </c>
      <c r="L501" s="147">
        <v>234.62</v>
      </c>
      <c r="M501" s="147">
        <v>237.16</v>
      </c>
      <c r="N501" s="147">
        <v>203426</v>
      </c>
      <c r="O501" s="147" t="s">
        <v>169</v>
      </c>
      <c r="P501" s="151">
        <f t="shared" si="17"/>
        <v>-2.1082813290596025E-4</v>
      </c>
    </row>
    <row r="502" spans="2:16" ht="14.25" customHeight="1">
      <c r="B502" s="243">
        <v>537.14289115004703</v>
      </c>
      <c r="C502" s="243">
        <v>538.33493055858742</v>
      </c>
      <c r="D502" s="243">
        <v>534.57503959081623</v>
      </c>
      <c r="E502" s="243">
        <v>535.34489837549859</v>
      </c>
      <c r="F502" s="243">
        <v>4534325.9302293137</v>
      </c>
      <c r="G502" s="243" t="s">
        <v>168</v>
      </c>
      <c r="H502" s="151">
        <f t="shared" si="15"/>
        <v>3.3585689898314453E-3</v>
      </c>
      <c r="J502" s="147">
        <v>240.48</v>
      </c>
      <c r="K502" s="147">
        <v>241.82</v>
      </c>
      <c r="L502" s="147">
        <v>235.30500000000001</v>
      </c>
      <c r="M502" s="147">
        <v>236.48</v>
      </c>
      <c r="N502" s="147">
        <v>643266</v>
      </c>
      <c r="O502" s="147" t="s">
        <v>168</v>
      </c>
      <c r="P502" s="151">
        <f t="shared" si="17"/>
        <v>1.6914749661705031E-2</v>
      </c>
    </row>
    <row r="503" spans="2:16" ht="14.25" customHeight="1">
      <c r="B503" s="243">
        <v>534.92768458250941</v>
      </c>
      <c r="C503" s="243">
        <v>538.97068490980905</v>
      </c>
      <c r="D503" s="243">
        <v>533.18929377838799</v>
      </c>
      <c r="E503" s="243">
        <v>538.53360379334424</v>
      </c>
      <c r="F503" s="243">
        <v>7409265.7815855956</v>
      </c>
      <c r="G503" s="243" t="s">
        <v>167</v>
      </c>
      <c r="H503" s="151">
        <f t="shared" si="15"/>
        <v>-6.6958109678492139E-3</v>
      </c>
      <c r="J503" s="147">
        <v>237.84</v>
      </c>
      <c r="K503" s="147">
        <v>239.73</v>
      </c>
      <c r="L503" s="147">
        <v>231.27</v>
      </c>
      <c r="M503" s="147">
        <v>233.88</v>
      </c>
      <c r="N503" s="147">
        <v>382919</v>
      </c>
      <c r="O503" s="147" t="s">
        <v>167</v>
      </c>
      <c r="P503" s="151">
        <f t="shared" si="17"/>
        <v>1.6931759876859909E-2</v>
      </c>
    </row>
    <row r="504" spans="2:16" ht="14.25" customHeight="1">
      <c r="B504" s="243">
        <v>541.92098244594649</v>
      </c>
      <c r="C504" s="243">
        <v>545.92424812629474</v>
      </c>
      <c r="D504" s="243">
        <v>541.26536077124933</v>
      </c>
      <c r="E504" s="243">
        <v>545.45736602461648</v>
      </c>
      <c r="F504" s="243">
        <v>3966595.7065879218</v>
      </c>
      <c r="G504" s="243" t="s">
        <v>166</v>
      </c>
      <c r="H504" s="151">
        <f t="shared" si="15"/>
        <v>-6.4833363686033207E-3</v>
      </c>
      <c r="J504" s="147">
        <v>233.51</v>
      </c>
      <c r="K504" s="147">
        <v>237.25</v>
      </c>
      <c r="L504" s="147">
        <v>232.505</v>
      </c>
      <c r="M504" s="147">
        <v>236</v>
      </c>
      <c r="N504" s="147">
        <v>195676</v>
      </c>
      <c r="O504" s="147" t="s">
        <v>166</v>
      </c>
      <c r="P504" s="151">
        <f t="shared" ref="P504:P521" si="18">J504/M504-1</f>
        <v>-1.0550847457627133E-2</v>
      </c>
    </row>
    <row r="505" spans="2:16" ht="14.25" customHeight="1">
      <c r="B505" s="243">
        <v>545.38783039245152</v>
      </c>
      <c r="C505" s="243">
        <v>547.22555781395135</v>
      </c>
      <c r="D505" s="243">
        <v>543.34149607445727</v>
      </c>
      <c r="E505" s="243">
        <v>545.51696799504339</v>
      </c>
      <c r="F505" s="243">
        <v>3726289.5573551976</v>
      </c>
      <c r="G505" s="243" t="s">
        <v>165</v>
      </c>
      <c r="H505" s="151">
        <f t="shared" si="15"/>
        <v>-2.3672518027528788E-4</v>
      </c>
      <c r="J505" s="147">
        <v>236.05</v>
      </c>
      <c r="K505" s="147">
        <v>238.29</v>
      </c>
      <c r="L505" s="147">
        <v>235.13</v>
      </c>
      <c r="M505" s="147">
        <v>237.77</v>
      </c>
      <c r="N505" s="147">
        <v>180913</v>
      </c>
      <c r="O505" s="147" t="s">
        <v>165</v>
      </c>
      <c r="P505" s="151">
        <f t="shared" si="18"/>
        <v>-7.233881482104576E-3</v>
      </c>
    </row>
    <row r="506" spans="2:16" ht="14.25" customHeight="1">
      <c r="B506" s="243">
        <v>545.10968786379215</v>
      </c>
      <c r="C506" s="243">
        <v>547.28515978437838</v>
      </c>
      <c r="D506" s="243">
        <v>542.80507834061393</v>
      </c>
      <c r="E506" s="243">
        <v>546.73880838879734</v>
      </c>
      <c r="F506" s="243">
        <v>4850792.3132173652</v>
      </c>
      <c r="G506" s="243" t="s">
        <v>164</v>
      </c>
      <c r="H506" s="151">
        <f t="shared" si="15"/>
        <v>-2.9797052998782325E-3</v>
      </c>
      <c r="J506" s="147">
        <v>236.22</v>
      </c>
      <c r="K506" s="147">
        <v>242.65</v>
      </c>
      <c r="L506" s="147">
        <v>236.01</v>
      </c>
      <c r="M506" s="147">
        <v>240.28</v>
      </c>
      <c r="N506" s="147">
        <v>274564</v>
      </c>
      <c r="O506" s="147" t="s">
        <v>164</v>
      </c>
      <c r="P506" s="151">
        <f t="shared" si="18"/>
        <v>-1.6896953554186744E-2</v>
      </c>
    </row>
    <row r="507" spans="2:16" ht="14.25" customHeight="1">
      <c r="B507" s="243">
        <v>546.74874205053516</v>
      </c>
      <c r="C507" s="243">
        <v>548.06991906166752</v>
      </c>
      <c r="D507" s="243">
        <v>545.20902448117056</v>
      </c>
      <c r="E507" s="243">
        <v>547.77190920953228</v>
      </c>
      <c r="F507" s="243">
        <v>4925805.9405851793</v>
      </c>
      <c r="G507" s="243" t="s">
        <v>163</v>
      </c>
      <c r="H507" s="151">
        <f t="shared" si="15"/>
        <v>-1.8678708086247164E-3</v>
      </c>
      <c r="J507" s="147">
        <v>242.07</v>
      </c>
      <c r="K507" s="147">
        <v>243.38499999999999</v>
      </c>
      <c r="L507" s="147">
        <v>236.71</v>
      </c>
      <c r="M507" s="147">
        <v>237.96</v>
      </c>
      <c r="N507" s="147">
        <v>446469</v>
      </c>
      <c r="O507" s="147" t="s">
        <v>163</v>
      </c>
      <c r="P507" s="151">
        <f t="shared" si="18"/>
        <v>1.7271810388300501E-2</v>
      </c>
    </row>
    <row r="508" spans="2:16" ht="14.25" customHeight="1">
      <c r="B508" s="243">
        <v>546.30172727233264</v>
      </c>
      <c r="C508" s="243">
        <v>547.5831696365135</v>
      </c>
      <c r="D508" s="243">
        <v>544.4242652038813</v>
      </c>
      <c r="E508" s="243">
        <v>544.43419886561924</v>
      </c>
      <c r="F508" s="243">
        <v>6843373.7522054855</v>
      </c>
      <c r="G508" s="243" t="s">
        <v>162</v>
      </c>
      <c r="H508" s="151">
        <f t="shared" si="15"/>
        <v>3.4302187676757967E-3</v>
      </c>
      <c r="J508" s="147">
        <v>236.45</v>
      </c>
      <c r="K508" s="147">
        <v>236.54</v>
      </c>
      <c r="L508" s="147">
        <v>231.93</v>
      </c>
      <c r="M508" s="147">
        <v>232.36</v>
      </c>
      <c r="N508" s="147">
        <v>318792</v>
      </c>
      <c r="O508" s="147" t="s">
        <v>162</v>
      </c>
      <c r="P508" s="151">
        <f t="shared" si="18"/>
        <v>1.7601996901359884E-2</v>
      </c>
    </row>
    <row r="509" spans="2:16" ht="14.25" customHeight="1">
      <c r="B509" s="243">
        <v>543.89778113177601</v>
      </c>
      <c r="C509" s="243">
        <v>544.83651216600163</v>
      </c>
      <c r="D509" s="243">
        <v>541.53356963817089</v>
      </c>
      <c r="E509" s="243">
        <v>541.60310527033573</v>
      </c>
      <c r="F509" s="243">
        <v>6091687.1942106001</v>
      </c>
      <c r="G509" s="243" t="s">
        <v>161</v>
      </c>
      <c r="H509" s="151">
        <f t="shared" si="15"/>
        <v>4.23682183338836E-3</v>
      </c>
      <c r="J509" s="147">
        <v>233.07</v>
      </c>
      <c r="K509" s="147">
        <v>239.99</v>
      </c>
      <c r="L509" s="147">
        <v>232.92</v>
      </c>
      <c r="M509" s="147">
        <v>233.96</v>
      </c>
      <c r="N509" s="147">
        <v>381267</v>
      </c>
      <c r="O509" s="147" t="s">
        <v>161</v>
      </c>
      <c r="P509" s="151">
        <f t="shared" si="18"/>
        <v>-3.804069071636218E-3</v>
      </c>
    </row>
    <row r="510" spans="2:16" ht="14.25" customHeight="1">
      <c r="B510" s="243">
        <v>539.69584221667105</v>
      </c>
      <c r="C510" s="243">
        <v>540.5302698026494</v>
      </c>
      <c r="D510" s="243">
        <v>534.59987374516083</v>
      </c>
      <c r="E510" s="243">
        <v>538.05678802992804</v>
      </c>
      <c r="F510" s="243">
        <v>7533311.6805219874</v>
      </c>
      <c r="G510" s="243" t="s">
        <v>160</v>
      </c>
      <c r="H510" s="151">
        <f t="shared" si="15"/>
        <v>3.0462475768484598E-3</v>
      </c>
      <c r="J510" s="147">
        <v>233.7</v>
      </c>
      <c r="K510" s="147">
        <v>238.9</v>
      </c>
      <c r="L510" s="147">
        <v>228.9</v>
      </c>
      <c r="M510" s="147">
        <v>238.9</v>
      </c>
      <c r="N510" s="147">
        <v>463471</v>
      </c>
      <c r="O510" s="147" t="s">
        <v>160</v>
      </c>
      <c r="P510" s="151">
        <f t="shared" si="18"/>
        <v>-2.1766429468396908E-2</v>
      </c>
    </row>
    <row r="511" spans="2:16" ht="14.25" customHeight="1">
      <c r="B511" s="243">
        <v>526.58340872272663</v>
      </c>
      <c r="C511" s="243">
        <v>526.65294435489136</v>
      </c>
      <c r="D511" s="243">
        <v>521.00069082606228</v>
      </c>
      <c r="E511" s="243">
        <v>521.23909870777038</v>
      </c>
      <c r="F511" s="243">
        <v>3322318.6847901442</v>
      </c>
      <c r="G511" s="243" t="s">
        <v>159</v>
      </c>
      <c r="H511" s="151">
        <f t="shared" si="15"/>
        <v>1.0253087360878377E-2</v>
      </c>
      <c r="J511" s="147">
        <v>232.39</v>
      </c>
      <c r="K511" s="147">
        <v>235.47</v>
      </c>
      <c r="L511" s="147">
        <v>228.64500000000001</v>
      </c>
      <c r="M511" s="147">
        <v>229.01</v>
      </c>
      <c r="N511" s="147">
        <v>417594</v>
      </c>
      <c r="O511" s="147" t="s">
        <v>159</v>
      </c>
      <c r="P511" s="151">
        <f t="shared" si="18"/>
        <v>1.4759180821798168E-2</v>
      </c>
    </row>
    <row r="512" spans="2:16" ht="14.25" customHeight="1">
      <c r="B512" s="243">
        <v>520.32520182788937</v>
      </c>
      <c r="C512" s="243">
        <v>522.78874993887291</v>
      </c>
      <c r="D512" s="243">
        <v>518.56704303690969</v>
      </c>
      <c r="E512" s="243">
        <v>521.57684320685678</v>
      </c>
      <c r="F512" s="243">
        <v>3706046.2668841663</v>
      </c>
      <c r="G512" s="243" t="s">
        <v>158</v>
      </c>
      <c r="H512" s="151">
        <f t="shared" si="15"/>
        <v>-2.3997257456290777E-3</v>
      </c>
      <c r="J512" s="147">
        <v>229.51</v>
      </c>
      <c r="K512" s="147">
        <v>237.46</v>
      </c>
      <c r="L512" s="147">
        <v>227.89</v>
      </c>
      <c r="M512" s="147">
        <v>233.84</v>
      </c>
      <c r="N512" s="147">
        <v>453739</v>
      </c>
      <c r="O512" s="147" t="s">
        <v>158</v>
      </c>
      <c r="P512" s="151">
        <f t="shared" si="18"/>
        <v>-1.851693465617521E-2</v>
      </c>
    </row>
    <row r="513" spans="2:16" ht="14.25" customHeight="1">
      <c r="B513" s="243">
        <v>521.45763926600284</v>
      </c>
      <c r="C513" s="243">
        <v>525.57017522546732</v>
      </c>
      <c r="D513" s="243">
        <v>521.0603921331068</v>
      </c>
      <c r="E513" s="243">
        <v>521.67617982423519</v>
      </c>
      <c r="F513" s="243">
        <v>6147724.938870227</v>
      </c>
      <c r="G513" s="243" t="s">
        <v>157</v>
      </c>
      <c r="H513" s="151">
        <f t="shared" si="15"/>
        <v>-4.1891994820619782E-4</v>
      </c>
      <c r="J513" s="147">
        <v>233.3</v>
      </c>
      <c r="K513" s="147">
        <v>236.56</v>
      </c>
      <c r="L513" s="147">
        <v>227.93</v>
      </c>
      <c r="M513" s="147">
        <v>231.08</v>
      </c>
      <c r="N513" s="147">
        <v>525994</v>
      </c>
      <c r="O513" s="147" t="s">
        <v>157</v>
      </c>
      <c r="P513" s="151">
        <f t="shared" si="18"/>
        <v>9.6070624891813061E-3</v>
      </c>
    </row>
    <row r="514" spans="2:16" ht="14.25" customHeight="1">
      <c r="B514" s="243">
        <v>519.20269805151383</v>
      </c>
      <c r="C514" s="243">
        <v>525.71918015153483</v>
      </c>
      <c r="D514" s="243">
        <v>519.04375946370851</v>
      </c>
      <c r="E514" s="243">
        <v>525.58010888720514</v>
      </c>
      <c r="F514" s="243">
        <v>8026017.2033361597</v>
      </c>
      <c r="G514" s="243" t="s">
        <v>156</v>
      </c>
      <c r="H514" s="151">
        <f t="shared" si="15"/>
        <v>-1.213404146742536E-2</v>
      </c>
      <c r="J514" s="147">
        <v>228.87</v>
      </c>
      <c r="K514" s="147">
        <v>230.75</v>
      </c>
      <c r="L514" s="147">
        <v>207.58</v>
      </c>
      <c r="M514" s="147">
        <v>207.58</v>
      </c>
      <c r="N514" s="147">
        <v>953178</v>
      </c>
      <c r="O514" s="147" t="s">
        <v>156</v>
      </c>
      <c r="P514" s="151">
        <f t="shared" si="18"/>
        <v>0.10256286732825903</v>
      </c>
    </row>
    <row r="515" spans="2:16" ht="14.25" customHeight="1">
      <c r="B515" s="243">
        <v>529.62310921450455</v>
      </c>
      <c r="C515" s="243">
        <v>532.64294238280706</v>
      </c>
      <c r="D515" s="243">
        <v>529.05689049544799</v>
      </c>
      <c r="E515" s="243">
        <v>530.80521496130723</v>
      </c>
      <c r="F515" s="243">
        <v>3087496.9179974315</v>
      </c>
      <c r="G515" s="243" t="s">
        <v>155</v>
      </c>
      <c r="H515" s="151">
        <f t="shared" si="15"/>
        <v>-2.2270047721533182E-3</v>
      </c>
      <c r="J515" s="147">
        <v>211.29</v>
      </c>
      <c r="K515" s="147">
        <v>218.21</v>
      </c>
      <c r="L515" s="147">
        <v>208.18</v>
      </c>
      <c r="M515" s="147">
        <v>208.18</v>
      </c>
      <c r="N515" s="147">
        <v>734000</v>
      </c>
      <c r="O515" s="147" t="s">
        <v>155</v>
      </c>
      <c r="P515" s="151">
        <f t="shared" si="18"/>
        <v>1.4938995100393759E-2</v>
      </c>
    </row>
    <row r="516" spans="2:16" ht="14.25" customHeight="1">
      <c r="B516" s="243">
        <v>531.22242875429629</v>
      </c>
      <c r="C516" s="243">
        <v>532.26546323676928</v>
      </c>
      <c r="D516" s="243">
        <v>528.22246290946964</v>
      </c>
      <c r="E516" s="243">
        <v>529.58337456755328</v>
      </c>
      <c r="F516" s="243">
        <v>3047829.7730513616</v>
      </c>
      <c r="G516" s="243" t="s">
        <v>154</v>
      </c>
      <c r="H516" s="151">
        <f t="shared" si="15"/>
        <v>3.0949879951980286E-3</v>
      </c>
      <c r="J516" s="147">
        <v>209.63</v>
      </c>
      <c r="K516" s="147">
        <v>214.97</v>
      </c>
      <c r="L516" s="147">
        <v>206.51499999999999</v>
      </c>
      <c r="M516" s="147">
        <v>208.62</v>
      </c>
      <c r="N516" s="147">
        <v>585440</v>
      </c>
      <c r="O516" s="147" t="s">
        <v>154</v>
      </c>
      <c r="P516" s="151">
        <f t="shared" si="18"/>
        <v>4.8413383184737757E-3</v>
      </c>
    </row>
    <row r="517" spans="2:16" ht="14.25" customHeight="1">
      <c r="B517" s="243">
        <v>530.37806750658012</v>
      </c>
      <c r="C517" s="243">
        <v>532.01712169332336</v>
      </c>
      <c r="D517" s="243">
        <v>530.13052065607326</v>
      </c>
      <c r="E517" s="243">
        <v>531.97738704637186</v>
      </c>
      <c r="F517" s="243">
        <v>3430729.8657243685</v>
      </c>
      <c r="G517" s="243" t="s">
        <v>153</v>
      </c>
      <c r="H517" s="151">
        <f t="shared" si="15"/>
        <v>-3.0063675237614884E-3</v>
      </c>
      <c r="J517" s="147">
        <v>208.74</v>
      </c>
      <c r="K517" s="147">
        <v>213.86</v>
      </c>
      <c r="L517" s="147">
        <v>205.8</v>
      </c>
      <c r="M517" s="147">
        <v>206.17</v>
      </c>
      <c r="N517" s="147">
        <v>536897</v>
      </c>
      <c r="O517" s="147" t="s">
        <v>153</v>
      </c>
      <c r="P517" s="151">
        <f t="shared" si="18"/>
        <v>1.2465441140806277E-2</v>
      </c>
    </row>
    <row r="518" spans="2:16" ht="14.25" customHeight="1">
      <c r="B518" s="243">
        <v>528.72907965809929</v>
      </c>
      <c r="C518" s="243">
        <v>533.69600986363503</v>
      </c>
      <c r="D518" s="243">
        <v>527.88869187507828</v>
      </c>
      <c r="E518" s="243">
        <v>531.10322481344224</v>
      </c>
      <c r="F518" s="243">
        <v>4356087.5276414705</v>
      </c>
      <c r="G518" s="243" t="s">
        <v>152</v>
      </c>
      <c r="H518" s="151">
        <f t="shared" si="15"/>
        <v>-4.4702141587954491E-3</v>
      </c>
      <c r="J518" s="147">
        <v>204.71</v>
      </c>
      <c r="K518" s="147">
        <v>206.72370000000001</v>
      </c>
      <c r="L518" s="147">
        <v>203.72</v>
      </c>
      <c r="M518" s="147">
        <v>206</v>
      </c>
      <c r="N518" s="147">
        <v>244602</v>
      </c>
      <c r="O518" s="147" t="s">
        <v>152</v>
      </c>
      <c r="P518" s="151">
        <f t="shared" si="18"/>
        <v>-6.2621359223300477E-3</v>
      </c>
    </row>
    <row r="519" spans="2:16" ht="14.25" customHeight="1">
      <c r="B519" s="243">
        <v>528.93768655459394</v>
      </c>
      <c r="C519" s="243">
        <v>529.6429765379803</v>
      </c>
      <c r="D519" s="243">
        <v>526.52380675229949</v>
      </c>
      <c r="E519" s="243">
        <v>529.63304287624237</v>
      </c>
      <c r="F519" s="243">
        <v>4507665.0666938424</v>
      </c>
      <c r="G519" s="243" t="s">
        <v>151</v>
      </c>
      <c r="H519" s="151">
        <f t="shared" si="15"/>
        <v>-1.3129020762605581E-3</v>
      </c>
      <c r="J519" s="147">
        <v>206.55</v>
      </c>
      <c r="K519" s="147">
        <v>208.22</v>
      </c>
      <c r="L519" s="147">
        <v>204.89</v>
      </c>
      <c r="M519" s="147">
        <v>204.89</v>
      </c>
      <c r="N519" s="147">
        <v>330421</v>
      </c>
      <c r="O519" s="147" t="s">
        <v>151</v>
      </c>
      <c r="P519" s="151">
        <f t="shared" si="18"/>
        <v>8.1019083410611703E-3</v>
      </c>
    </row>
    <row r="520" spans="2:16" ht="14.25" customHeight="1">
      <c r="B520" s="243">
        <v>527.74564714605344</v>
      </c>
      <c r="C520" s="243">
        <v>531.1727604456072</v>
      </c>
      <c r="D520" s="243">
        <v>524.51720708125652</v>
      </c>
      <c r="E520" s="243">
        <v>530.73567932914227</v>
      </c>
      <c r="F520" s="243">
        <v>5262665.6090852972</v>
      </c>
      <c r="G520" s="243" t="s">
        <v>150</v>
      </c>
      <c r="H520" s="151">
        <f t="shared" si="15"/>
        <v>-5.6337500935838003E-3</v>
      </c>
      <c r="J520" s="147">
        <v>203.71</v>
      </c>
      <c r="K520" s="147">
        <v>205.36</v>
      </c>
      <c r="L520" s="147">
        <v>199.01</v>
      </c>
      <c r="M520" s="147">
        <v>205.36</v>
      </c>
      <c r="N520" s="147">
        <v>249777</v>
      </c>
      <c r="O520" s="147" t="s">
        <v>150</v>
      </c>
      <c r="P520" s="151">
        <f t="shared" si="18"/>
        <v>-8.0346708219711793E-3</v>
      </c>
    </row>
    <row r="521" spans="2:16" ht="14.25" customHeight="1">
      <c r="B521" s="243">
        <v>532.60320773585568</v>
      </c>
      <c r="C521" s="243">
        <v>533.7157778504934</v>
      </c>
      <c r="D521" s="243">
        <v>529.93105272837761</v>
      </c>
      <c r="E521" s="243">
        <v>530.56680707959913</v>
      </c>
      <c r="F521" s="243">
        <v>3389077.5515103652</v>
      </c>
      <c r="G521" s="243" t="s">
        <v>149</v>
      </c>
      <c r="H521" s="151">
        <f t="shared" si="15"/>
        <v>3.8381606785118372E-3</v>
      </c>
      <c r="J521" s="147">
        <v>205.62</v>
      </c>
      <c r="K521" s="147">
        <v>206.81</v>
      </c>
      <c r="L521" s="147">
        <v>202</v>
      </c>
      <c r="M521" s="147">
        <v>205.85</v>
      </c>
      <c r="N521" s="147">
        <v>228881</v>
      </c>
      <c r="O521" s="147" t="s">
        <v>149</v>
      </c>
      <c r="P521" s="151">
        <f t="shared" si="18"/>
        <v>-1.1173184357541333E-3</v>
      </c>
    </row>
    <row r="522" spans="2:16" ht="14.25" customHeight="1">
      <c r="B522" s="243">
        <v>532.97075322015553</v>
      </c>
      <c r="C522" s="243">
        <v>534.04358868784198</v>
      </c>
      <c r="D522" s="243">
        <v>530.16946061008571</v>
      </c>
      <c r="E522" s="243">
        <v>533.15949279317454</v>
      </c>
      <c r="F522" s="243">
        <v>3695949.2852627807</v>
      </c>
      <c r="G522" s="243" t="s">
        <v>148</v>
      </c>
      <c r="H522" s="151">
        <f t="shared" ref="H522:H585" si="19">B522/E522-1</f>
        <v>-3.5400208674929434E-4</v>
      </c>
      <c r="J522" s="147">
        <v>206.68</v>
      </c>
      <c r="K522" s="147">
        <v>209.91</v>
      </c>
      <c r="L522" s="147">
        <v>201.96</v>
      </c>
      <c r="M522" s="147">
        <v>208.35</v>
      </c>
      <c r="N522" s="147">
        <v>225223</v>
      </c>
      <c r="O522" s="147" t="s">
        <v>148</v>
      </c>
      <c r="P522" s="151">
        <f t="shared" ref="P522:P585" si="20">J522/M522-1</f>
        <v>-8.0153587712982199E-3</v>
      </c>
    </row>
    <row r="523" spans="2:16" ht="14.25" customHeight="1">
      <c r="B523" s="243">
        <v>533.79524714439606</v>
      </c>
      <c r="C523" s="243">
        <v>534.53033811299599</v>
      </c>
      <c r="D523" s="243">
        <v>532.00718803158543</v>
      </c>
      <c r="E523" s="243">
        <v>533.3382987044555</v>
      </c>
      <c r="F523" s="243">
        <v>5104272.8591080224</v>
      </c>
      <c r="G523" s="243" t="s">
        <v>147</v>
      </c>
      <c r="H523" s="151">
        <f t="shared" si="19"/>
        <v>8.5677034829600984E-4</v>
      </c>
      <c r="J523" s="147">
        <v>208.65</v>
      </c>
      <c r="K523" s="147">
        <v>209.69499999999999</v>
      </c>
      <c r="L523" s="147">
        <v>203.84</v>
      </c>
      <c r="M523" s="147">
        <v>204.29</v>
      </c>
      <c r="N523" s="147">
        <v>221677</v>
      </c>
      <c r="O523" s="147" t="s">
        <v>147</v>
      </c>
      <c r="P523" s="151">
        <f t="shared" si="20"/>
        <v>2.1342209603994355E-2</v>
      </c>
    </row>
    <row r="524" spans="2:16" ht="14.25" customHeight="1">
      <c r="B524" s="243">
        <v>531.74891282640169</v>
      </c>
      <c r="C524" s="243">
        <v>535.18595978769315</v>
      </c>
      <c r="D524" s="243">
        <v>531.59990790033407</v>
      </c>
      <c r="E524" s="243">
        <v>535.04688852336346</v>
      </c>
      <c r="F524" s="243">
        <v>3246835.945414796</v>
      </c>
      <c r="G524" s="243" t="s">
        <v>146</v>
      </c>
      <c r="H524" s="151">
        <f t="shared" si="19"/>
        <v>-6.1639003379004853E-3</v>
      </c>
      <c r="J524" s="147">
        <v>202.26</v>
      </c>
      <c r="K524" s="147">
        <v>206.28</v>
      </c>
      <c r="L524" s="147">
        <v>198.68</v>
      </c>
      <c r="M524" s="147">
        <v>205.43</v>
      </c>
      <c r="N524" s="147">
        <v>280298</v>
      </c>
      <c r="O524" s="147" t="s">
        <v>146</v>
      </c>
      <c r="P524" s="151">
        <f t="shared" si="20"/>
        <v>-1.5431047071995385E-2</v>
      </c>
    </row>
    <row r="525" spans="2:16" ht="14.25" customHeight="1">
      <c r="B525" s="243">
        <v>531.66944353249903</v>
      </c>
      <c r="C525" s="243">
        <v>532.17606028112868</v>
      </c>
      <c r="D525" s="243">
        <v>528.68437818027905</v>
      </c>
      <c r="E525" s="243">
        <v>529.39463499453439</v>
      </c>
      <c r="F525" s="243">
        <v>3258834.5420195116</v>
      </c>
      <c r="G525" s="243" t="s">
        <v>145</v>
      </c>
      <c r="H525" s="151">
        <f t="shared" si="19"/>
        <v>4.2969996059520899E-3</v>
      </c>
      <c r="J525" s="147">
        <v>205.43</v>
      </c>
      <c r="K525" s="147">
        <v>209.41</v>
      </c>
      <c r="L525" s="147">
        <v>203.79499999999999</v>
      </c>
      <c r="M525" s="147">
        <v>204.96</v>
      </c>
      <c r="N525" s="147">
        <v>272458</v>
      </c>
      <c r="O525" s="147" t="s">
        <v>145</v>
      </c>
      <c r="P525" s="151">
        <f t="shared" si="20"/>
        <v>2.2931303669009306E-3</v>
      </c>
    </row>
    <row r="526" spans="2:16" ht="14.25" customHeight="1">
      <c r="B526" s="243">
        <v>529.44430330322359</v>
      </c>
      <c r="C526" s="243">
        <v>534.04358868784198</v>
      </c>
      <c r="D526" s="243">
        <v>528.2919985416346</v>
      </c>
      <c r="E526" s="243">
        <v>533.81511446787169</v>
      </c>
      <c r="F526" s="243">
        <v>4843460.6764129233</v>
      </c>
      <c r="G526" s="243" t="s">
        <v>144</v>
      </c>
      <c r="H526" s="151">
        <f t="shared" si="19"/>
        <v>-8.1878745022143651E-3</v>
      </c>
      <c r="J526" s="147">
        <v>206.62</v>
      </c>
      <c r="K526" s="147">
        <v>212.48</v>
      </c>
      <c r="L526" s="147">
        <v>204.87</v>
      </c>
      <c r="M526" s="147">
        <v>211.39</v>
      </c>
      <c r="N526" s="147">
        <v>361428</v>
      </c>
      <c r="O526" s="147" t="s">
        <v>144</v>
      </c>
      <c r="P526" s="151">
        <f t="shared" si="20"/>
        <v>-2.2564927385401279E-2</v>
      </c>
    </row>
    <row r="527" spans="2:16" ht="14.25" customHeight="1">
      <c r="B527" s="243">
        <v>533.50717095399887</v>
      </c>
      <c r="C527" s="243">
        <v>534.41113417214194</v>
      </c>
      <c r="D527" s="243">
        <v>530.42773581526944</v>
      </c>
      <c r="E527" s="243">
        <v>530.70587834392882</v>
      </c>
      <c r="F527" s="243">
        <v>2656552.1049991744</v>
      </c>
      <c r="G527" s="243" t="s">
        <v>143</v>
      </c>
      <c r="H527" s="151">
        <f t="shared" si="19"/>
        <v>5.2784277023867343E-3</v>
      </c>
      <c r="J527" s="147">
        <v>211.36</v>
      </c>
      <c r="K527" s="147">
        <v>217.44</v>
      </c>
      <c r="L527" s="147">
        <v>204.77</v>
      </c>
      <c r="M527" s="147">
        <v>205</v>
      </c>
      <c r="N527" s="147">
        <v>586871</v>
      </c>
      <c r="O527" s="147" t="s">
        <v>143</v>
      </c>
      <c r="P527" s="151">
        <f t="shared" si="20"/>
        <v>3.1024390243902467E-2</v>
      </c>
    </row>
    <row r="528" spans="2:16" ht="14.25" customHeight="1">
      <c r="B528" s="243">
        <v>529.17609443630204</v>
      </c>
      <c r="C528" s="243">
        <v>529.89131808142622</v>
      </c>
      <c r="D528" s="243">
        <v>525.87811873934015</v>
      </c>
      <c r="E528" s="243">
        <v>525.98738901845638</v>
      </c>
      <c r="F528" s="243">
        <v>5465424.6775090043</v>
      </c>
      <c r="G528" s="243" t="s">
        <v>142</v>
      </c>
      <c r="H528" s="151">
        <f t="shared" si="19"/>
        <v>6.0623229461758132E-3</v>
      </c>
      <c r="J528" s="147">
        <v>203.19</v>
      </c>
      <c r="K528" s="147">
        <v>203.86</v>
      </c>
      <c r="L528" s="147">
        <v>193.495</v>
      </c>
      <c r="M528" s="147">
        <v>193.7</v>
      </c>
      <c r="N528" s="147">
        <v>387667</v>
      </c>
      <c r="O528" s="147" t="s">
        <v>142</v>
      </c>
      <c r="P528" s="151">
        <f t="shared" si="20"/>
        <v>4.8993288590604145E-2</v>
      </c>
    </row>
    <row r="529" spans="2:16" ht="14.25" customHeight="1">
      <c r="B529" s="243">
        <v>526.04699098888329</v>
      </c>
      <c r="C529" s="243">
        <v>527.37810166175348</v>
      </c>
      <c r="D529" s="243">
        <v>524.58674271342147</v>
      </c>
      <c r="E529" s="243">
        <v>525.7589147984861</v>
      </c>
      <c r="F529" s="243">
        <v>3661925.577900907</v>
      </c>
      <c r="G529" s="243" t="s">
        <v>141</v>
      </c>
      <c r="H529" s="151">
        <f t="shared" si="19"/>
        <v>5.4792449978258162E-4</v>
      </c>
      <c r="J529" s="147">
        <v>192.58</v>
      </c>
      <c r="K529" s="147">
        <v>197.22</v>
      </c>
      <c r="L529" s="147">
        <v>192.54</v>
      </c>
      <c r="M529" s="147">
        <v>197.22</v>
      </c>
      <c r="N529" s="147">
        <v>295550</v>
      </c>
      <c r="O529" s="147" t="s">
        <v>141</v>
      </c>
      <c r="P529" s="151">
        <f t="shared" si="20"/>
        <v>-2.352702565662701E-2</v>
      </c>
    </row>
    <row r="530" spans="2:16" ht="14.25" customHeight="1">
      <c r="B530" s="243">
        <v>526.93108688355096</v>
      </c>
      <c r="C530" s="243">
        <v>527.50723926434534</v>
      </c>
      <c r="D530" s="243">
        <v>522.81855092408637</v>
      </c>
      <c r="E530" s="243">
        <v>523.37483598140534</v>
      </c>
      <c r="F530" s="243">
        <v>2961430.6160586346</v>
      </c>
      <c r="G530" s="243" t="s">
        <v>140</v>
      </c>
      <c r="H530" s="151">
        <f t="shared" si="19"/>
        <v>6.7948450281853923E-3</v>
      </c>
      <c r="J530" s="147">
        <v>197.55</v>
      </c>
      <c r="K530" s="147">
        <v>197.82</v>
      </c>
      <c r="L530" s="147">
        <v>193.66</v>
      </c>
      <c r="M530" s="147">
        <v>194.75</v>
      </c>
      <c r="N530" s="147">
        <v>272446</v>
      </c>
      <c r="O530" s="147" t="s">
        <v>140</v>
      </c>
      <c r="P530" s="151">
        <f t="shared" si="20"/>
        <v>1.4377406931964209E-2</v>
      </c>
    </row>
    <row r="531" spans="2:16" ht="14.25" customHeight="1">
      <c r="B531" s="243">
        <v>523.3549686579297</v>
      </c>
      <c r="C531" s="243">
        <v>523.88145273003499</v>
      </c>
      <c r="D531" s="243">
        <v>520.02719197575436</v>
      </c>
      <c r="E531" s="243">
        <v>520.84175223825696</v>
      </c>
      <c r="F531" s="243">
        <v>2644208.2177966391</v>
      </c>
      <c r="G531" s="243" t="s">
        <v>139</v>
      </c>
      <c r="H531" s="151">
        <f t="shared" si="19"/>
        <v>4.8252975282270238E-3</v>
      </c>
      <c r="J531" s="147">
        <v>194.81</v>
      </c>
      <c r="K531" s="147">
        <v>196.41</v>
      </c>
      <c r="L531" s="147">
        <v>190.51</v>
      </c>
      <c r="M531" s="147">
        <v>191.96</v>
      </c>
      <c r="N531" s="147">
        <v>273502</v>
      </c>
      <c r="O531" s="147" t="s">
        <v>139</v>
      </c>
      <c r="P531" s="151">
        <f t="shared" si="20"/>
        <v>1.4846843092310769E-2</v>
      </c>
    </row>
    <row r="532" spans="2:16" ht="14.25" customHeight="1">
      <c r="B532" s="243">
        <v>518.44773975943826</v>
      </c>
      <c r="C532" s="243">
        <v>522.23256421817143</v>
      </c>
      <c r="D532" s="243">
        <v>517.35503696827618</v>
      </c>
      <c r="E532" s="243">
        <v>521.65631250075955</v>
      </c>
      <c r="F532" s="243">
        <v>3997020.5396430702</v>
      </c>
      <c r="G532" s="243" t="s">
        <v>138</v>
      </c>
      <c r="H532" s="151">
        <f t="shared" si="19"/>
        <v>-6.15074075484634E-3</v>
      </c>
      <c r="J532" s="147">
        <v>190.81</v>
      </c>
      <c r="K532" s="147">
        <v>194.64</v>
      </c>
      <c r="L532" s="147">
        <v>190.08</v>
      </c>
      <c r="M532" s="147">
        <v>194.64</v>
      </c>
      <c r="N532" s="147">
        <v>244036</v>
      </c>
      <c r="O532" s="147" t="s">
        <v>138</v>
      </c>
      <c r="P532" s="151">
        <f t="shared" si="20"/>
        <v>-1.9677353062063196E-2</v>
      </c>
    </row>
    <row r="533" spans="2:16" ht="14.25" customHeight="1">
      <c r="B533" s="243">
        <v>523.15629542317288</v>
      </c>
      <c r="C533" s="243">
        <v>523.52384090747285</v>
      </c>
      <c r="D533" s="243">
        <v>518.83515256721387</v>
      </c>
      <c r="E533" s="243">
        <v>522.66954599801886</v>
      </c>
      <c r="F533" s="243">
        <v>5393957.5771852722</v>
      </c>
      <c r="G533" s="243" t="s">
        <v>137</v>
      </c>
      <c r="H533" s="151">
        <f t="shared" si="19"/>
        <v>9.312756575947656E-4</v>
      </c>
      <c r="J533" s="147">
        <v>194.73</v>
      </c>
      <c r="K533" s="147">
        <v>198.89</v>
      </c>
      <c r="L533" s="147">
        <v>192.26</v>
      </c>
      <c r="M533" s="147">
        <v>197.59</v>
      </c>
      <c r="N533" s="147">
        <v>243639</v>
      </c>
      <c r="O533" s="147" t="s">
        <v>137</v>
      </c>
      <c r="P533" s="151">
        <f t="shared" si="20"/>
        <v>-1.4474416721494077E-2</v>
      </c>
    </row>
    <row r="534" spans="2:16" ht="14.25" customHeight="1">
      <c r="B534" s="243">
        <v>518.37820412727342</v>
      </c>
      <c r="C534" s="243">
        <v>520.28050035006913</v>
      </c>
      <c r="D534" s="243">
        <v>516.37160445623044</v>
      </c>
      <c r="E534" s="243">
        <v>518.10006159861393</v>
      </c>
      <c r="F534" s="243">
        <v>4034717.615493123</v>
      </c>
      <c r="G534" s="243" t="s">
        <v>136</v>
      </c>
      <c r="H534" s="151">
        <f t="shared" si="19"/>
        <v>5.3685098550504406E-4</v>
      </c>
      <c r="J534" s="147">
        <v>194.99</v>
      </c>
      <c r="K534" s="147">
        <v>197.09</v>
      </c>
      <c r="L534" s="147">
        <v>189.94</v>
      </c>
      <c r="M534" s="147">
        <v>192.18</v>
      </c>
      <c r="N534" s="147">
        <v>304184</v>
      </c>
      <c r="O534" s="147" t="s">
        <v>136</v>
      </c>
      <c r="P534" s="151">
        <f t="shared" si="20"/>
        <v>1.4621708814652967E-2</v>
      </c>
    </row>
    <row r="535" spans="2:16" ht="14.25" customHeight="1">
      <c r="B535" s="243">
        <v>519.36163663931927</v>
      </c>
      <c r="C535" s="243">
        <v>520.37487013657858</v>
      </c>
      <c r="D535" s="243">
        <v>516.13329591113973</v>
      </c>
      <c r="E535" s="243">
        <v>518.38813778901124</v>
      </c>
      <c r="F535" s="243">
        <v>3292424.3711083229</v>
      </c>
      <c r="G535" s="243" t="s">
        <v>135</v>
      </c>
      <c r="H535" s="151">
        <f t="shared" si="19"/>
        <v>1.877934272300541E-3</v>
      </c>
      <c r="J535" s="147">
        <v>193.02</v>
      </c>
      <c r="K535" s="147">
        <v>194.01</v>
      </c>
      <c r="L535" s="147">
        <v>187.84</v>
      </c>
      <c r="M535" s="147">
        <v>190.83</v>
      </c>
      <c r="N535" s="147">
        <v>248342</v>
      </c>
      <c r="O535" s="147" t="s">
        <v>135</v>
      </c>
      <c r="P535" s="151">
        <f t="shared" si="20"/>
        <v>1.1476182990095785E-2</v>
      </c>
    </row>
    <row r="536" spans="2:16" ht="14.25" customHeight="1">
      <c r="B536" s="243">
        <v>519.27223368367868</v>
      </c>
      <c r="C536" s="243">
        <v>523.60331020137562</v>
      </c>
      <c r="D536" s="243">
        <v>516.77888458748168</v>
      </c>
      <c r="E536" s="243">
        <v>523.54370823094848</v>
      </c>
      <c r="F536" s="243">
        <v>9260086.8066232149</v>
      </c>
      <c r="G536" s="243" t="s">
        <v>134</v>
      </c>
      <c r="H536" s="151">
        <f t="shared" si="19"/>
        <v>-8.158773527625951E-3</v>
      </c>
      <c r="J536" s="147">
        <v>191.56</v>
      </c>
      <c r="K536" s="147">
        <v>194.55</v>
      </c>
      <c r="L536" s="147">
        <v>186.965</v>
      </c>
      <c r="M536" s="147">
        <v>193.93</v>
      </c>
      <c r="N536" s="147">
        <v>274310</v>
      </c>
      <c r="O536" s="147" t="s">
        <v>134</v>
      </c>
      <c r="P536" s="151">
        <f t="shared" si="20"/>
        <v>-1.22209044500593E-2</v>
      </c>
    </row>
    <row r="537" spans="2:16" ht="14.25" customHeight="1">
      <c r="B537" s="243">
        <v>524.16952892043219</v>
      </c>
      <c r="C537" s="243">
        <v>524.45263827996064</v>
      </c>
      <c r="D537" s="243">
        <v>518.72588228809775</v>
      </c>
      <c r="E537" s="243">
        <v>520.84175223825696</v>
      </c>
      <c r="F537" s="243">
        <v>8070889.8808808522</v>
      </c>
      <c r="G537" s="243" t="s">
        <v>133</v>
      </c>
      <c r="H537" s="151">
        <f t="shared" si="19"/>
        <v>6.3892279523953821E-3</v>
      </c>
      <c r="J537" s="147">
        <v>194.31</v>
      </c>
      <c r="K537" s="147">
        <v>194.44</v>
      </c>
      <c r="L537" s="147">
        <v>191.12</v>
      </c>
      <c r="M537" s="147">
        <v>191.12</v>
      </c>
      <c r="N537" s="147">
        <v>296876</v>
      </c>
      <c r="O537" s="147" t="s">
        <v>133</v>
      </c>
      <c r="P537" s="151">
        <f t="shared" si="20"/>
        <v>1.6691084135621592E-2</v>
      </c>
    </row>
    <row r="538" spans="2:16" ht="14.25" customHeight="1">
      <c r="B538" s="243">
        <v>521.89472038246765</v>
      </c>
      <c r="C538" s="243">
        <v>524.2688655378106</v>
      </c>
      <c r="D538" s="243">
        <v>520.84175223825696</v>
      </c>
      <c r="E538" s="243">
        <v>523.59337653963769</v>
      </c>
      <c r="F538" s="243">
        <v>5635982.1259820741</v>
      </c>
      <c r="G538" s="243" t="s">
        <v>132</v>
      </c>
      <c r="H538" s="151">
        <f t="shared" si="19"/>
        <v>-3.2442277409928666E-3</v>
      </c>
      <c r="J538" s="147">
        <v>191.55</v>
      </c>
      <c r="K538" s="147">
        <v>195.02</v>
      </c>
      <c r="L538" s="147">
        <v>189.47</v>
      </c>
      <c r="M538" s="147">
        <v>193.27</v>
      </c>
      <c r="N538" s="147">
        <v>159095</v>
      </c>
      <c r="O538" s="147" t="s">
        <v>132</v>
      </c>
      <c r="P538" s="151">
        <f t="shared" si="20"/>
        <v>-8.8994670667977838E-3</v>
      </c>
    </row>
    <row r="539" spans="2:16" ht="14.25" customHeight="1">
      <c r="B539" s="243">
        <v>522.57160009328379</v>
      </c>
      <c r="C539" s="243">
        <v>524.77002524432999</v>
      </c>
      <c r="D539" s="243">
        <v>520.3830777582333</v>
      </c>
      <c r="E539" s="243">
        <v>524.52245484443733</v>
      </c>
      <c r="F539" s="243">
        <v>5325672.0131809711</v>
      </c>
      <c r="G539" s="243" t="s">
        <v>131</v>
      </c>
      <c r="H539" s="151">
        <f t="shared" si="19"/>
        <v>-3.7192969207240356E-3</v>
      </c>
      <c r="J539" s="147">
        <v>191.63</v>
      </c>
      <c r="K539" s="147">
        <v>192.1</v>
      </c>
      <c r="L539" s="147">
        <v>186.09</v>
      </c>
      <c r="M539" s="147">
        <v>189.71</v>
      </c>
      <c r="N539" s="147">
        <v>282054</v>
      </c>
      <c r="O539" s="147" t="s">
        <v>131</v>
      </c>
      <c r="P539" s="151">
        <f t="shared" si="20"/>
        <v>1.0120710558220392E-2</v>
      </c>
    </row>
    <row r="540" spans="2:16" ht="14.25" customHeight="1">
      <c r="B540" s="243">
        <v>520.50191155018172</v>
      </c>
      <c r="C540" s="243">
        <v>522.17548745345562</v>
      </c>
      <c r="D540" s="243">
        <v>519.55124121459414</v>
      </c>
      <c r="E540" s="243">
        <v>521.4921931497521</v>
      </c>
      <c r="F540" s="243">
        <v>35765633.750405967</v>
      </c>
      <c r="G540" s="243" t="s">
        <v>130</v>
      </c>
      <c r="H540" s="151">
        <f t="shared" si="19"/>
        <v>-1.8989384933821851E-3</v>
      </c>
      <c r="J540" s="147">
        <v>186.89</v>
      </c>
      <c r="K540" s="147">
        <v>191.96</v>
      </c>
      <c r="L540" s="147">
        <v>185.13</v>
      </c>
      <c r="M540" s="147">
        <v>191.96</v>
      </c>
      <c r="N540" s="147">
        <v>380320</v>
      </c>
      <c r="O540" s="147" t="s">
        <v>130</v>
      </c>
      <c r="P540" s="151">
        <f t="shared" si="20"/>
        <v>-2.6411752448426862E-2</v>
      </c>
    </row>
    <row r="541" spans="2:16" ht="14.25" customHeight="1">
      <c r="B541" s="243">
        <v>521.56151286172189</v>
      </c>
      <c r="C541" s="243">
        <v>521.71995791765323</v>
      </c>
      <c r="D541" s="243">
        <v>518.29358358313982</v>
      </c>
      <c r="E541" s="243">
        <v>520.89802419000989</v>
      </c>
      <c r="F541" s="243">
        <v>4696248.0187632013</v>
      </c>
      <c r="G541" s="243" t="s">
        <v>129</v>
      </c>
      <c r="H541" s="151">
        <f t="shared" si="19"/>
        <v>1.2737400429647661E-3</v>
      </c>
      <c r="J541" s="147">
        <v>191.4</v>
      </c>
      <c r="K541" s="147">
        <v>195.95</v>
      </c>
      <c r="L541" s="147">
        <v>191.35</v>
      </c>
      <c r="M541" s="147">
        <v>195.86</v>
      </c>
      <c r="N541" s="147">
        <v>332508</v>
      </c>
      <c r="O541" s="147" t="s">
        <v>129</v>
      </c>
      <c r="P541" s="151">
        <f t="shared" si="20"/>
        <v>-2.2771367303175749E-2</v>
      </c>
    </row>
    <row r="542" spans="2:16" ht="14.25" customHeight="1">
      <c r="B542" s="243">
        <v>520.06618764637074</v>
      </c>
      <c r="C542" s="243">
        <v>520.71977350208726</v>
      </c>
      <c r="D542" s="243">
        <v>518.7392103029465</v>
      </c>
      <c r="E542" s="243">
        <v>519.89783977444381</v>
      </c>
      <c r="F542" s="243">
        <v>29576592.1660132</v>
      </c>
      <c r="G542" s="243" t="s">
        <v>128</v>
      </c>
      <c r="H542" s="151">
        <f t="shared" si="19"/>
        <v>3.2380952380939299E-4</v>
      </c>
      <c r="J542" s="147">
        <v>194.9</v>
      </c>
      <c r="K542" s="147">
        <v>198.95750000000001</v>
      </c>
      <c r="L542" s="147">
        <v>194.655</v>
      </c>
      <c r="M542" s="147">
        <v>196.09</v>
      </c>
      <c r="N542" s="147">
        <v>276361</v>
      </c>
      <c r="O542" s="147" t="s">
        <v>128</v>
      </c>
      <c r="P542" s="151">
        <f t="shared" si="20"/>
        <v>-6.0686419501249089E-3</v>
      </c>
    </row>
    <row r="543" spans="2:16" ht="14.25" customHeight="1">
      <c r="B543" s="243">
        <v>518.78872438292501</v>
      </c>
      <c r="C543" s="243">
        <v>519.81861724647808</v>
      </c>
      <c r="D543" s="243">
        <v>516.05554716811071</v>
      </c>
      <c r="E543" s="243">
        <v>518.42232019108394</v>
      </c>
      <c r="F543" s="243">
        <v>5667759.5569129474</v>
      </c>
      <c r="G543" s="243" t="s">
        <v>127</v>
      </c>
      <c r="H543" s="151">
        <f t="shared" si="19"/>
        <v>7.0676777903000421E-4</v>
      </c>
      <c r="J543" s="147">
        <v>195</v>
      </c>
      <c r="K543" s="147">
        <v>200.77500000000001</v>
      </c>
      <c r="L543" s="147">
        <v>194.72499999999999</v>
      </c>
      <c r="M543" s="147">
        <v>200.22</v>
      </c>
      <c r="N543" s="147">
        <v>835823</v>
      </c>
      <c r="O543" s="147" t="s">
        <v>127</v>
      </c>
      <c r="P543" s="151">
        <f t="shared" si="20"/>
        <v>-2.6071321546299098E-2</v>
      </c>
    </row>
    <row r="544" spans="2:16" ht="14.25" customHeight="1">
      <c r="B544" s="243">
        <v>519.80871443048238</v>
      </c>
      <c r="C544" s="243">
        <v>521.4822903337564</v>
      </c>
      <c r="D544" s="243">
        <v>517.11514847965111</v>
      </c>
      <c r="E544" s="243">
        <v>519.77900598249528</v>
      </c>
      <c r="F544" s="243">
        <v>5612919.6002545981</v>
      </c>
      <c r="G544" s="243" t="s">
        <v>126</v>
      </c>
      <c r="H544" s="151">
        <f t="shared" si="19"/>
        <v>5.7155921353357897E-5</v>
      </c>
      <c r="J544" s="147">
        <v>200.82</v>
      </c>
      <c r="K544" s="147">
        <v>203.28</v>
      </c>
      <c r="L544" s="147">
        <v>198.09559999999999</v>
      </c>
      <c r="M544" s="147">
        <v>201</v>
      </c>
      <c r="N544" s="147">
        <v>370035</v>
      </c>
      <c r="O544" s="147" t="s">
        <v>126</v>
      </c>
      <c r="P544" s="151">
        <f t="shared" si="20"/>
        <v>-8.9552238805978845E-4</v>
      </c>
    </row>
    <row r="545" spans="2:16" ht="14.25" customHeight="1">
      <c r="B545" s="243">
        <v>510.89618003434907</v>
      </c>
      <c r="C545" s="243">
        <v>517.64990054341911</v>
      </c>
      <c r="D545" s="243">
        <v>510.4604561305382</v>
      </c>
      <c r="E545" s="243">
        <v>513.14411926537377</v>
      </c>
      <c r="F545" s="243">
        <v>6989201.8623821521</v>
      </c>
      <c r="G545" s="243" t="s">
        <v>125</v>
      </c>
      <c r="H545" s="151">
        <f t="shared" si="19"/>
        <v>-4.3807171253231747E-3</v>
      </c>
      <c r="J545" s="147">
        <v>195.58</v>
      </c>
      <c r="K545" s="147">
        <v>199.66</v>
      </c>
      <c r="L545" s="147">
        <v>188.75</v>
      </c>
      <c r="M545" s="147">
        <v>189.71</v>
      </c>
      <c r="N545" s="147">
        <v>464298</v>
      </c>
      <c r="O545" s="147" t="s">
        <v>125</v>
      </c>
      <c r="P545" s="151">
        <f t="shared" si="20"/>
        <v>3.0941964050392734E-2</v>
      </c>
    </row>
    <row r="546" spans="2:16" ht="14.25" customHeight="1">
      <c r="B546" s="243">
        <v>512.55985312162738</v>
      </c>
      <c r="C546" s="243">
        <v>515.6742887522762</v>
      </c>
      <c r="D546" s="243">
        <v>510.49016457852525</v>
      </c>
      <c r="E546" s="243">
        <v>514.39187408083262</v>
      </c>
      <c r="F546" s="243">
        <v>8229938.8411698611</v>
      </c>
      <c r="G546" s="243" t="s">
        <v>124</v>
      </c>
      <c r="H546" s="151">
        <f t="shared" si="19"/>
        <v>-3.5615277991684069E-3</v>
      </c>
      <c r="J546" s="147">
        <v>187.06</v>
      </c>
      <c r="K546" s="147">
        <v>192.92</v>
      </c>
      <c r="L546" s="147">
        <v>185.07</v>
      </c>
      <c r="M546" s="147">
        <v>188.18</v>
      </c>
      <c r="N546" s="147">
        <v>406336</v>
      </c>
      <c r="O546" s="147" t="s">
        <v>124</v>
      </c>
      <c r="P546" s="151">
        <f t="shared" si="20"/>
        <v>-5.9517483260708159E-3</v>
      </c>
    </row>
    <row r="547" spans="2:16" ht="14.25" customHeight="1">
      <c r="B547" s="243">
        <v>512.32218553773043</v>
      </c>
      <c r="C547" s="243">
        <v>512.55985312162738</v>
      </c>
      <c r="D547" s="243">
        <v>509.64842521889045</v>
      </c>
      <c r="E547" s="243">
        <v>511.32200112216441</v>
      </c>
      <c r="F547" s="243">
        <v>4298022.9076724881</v>
      </c>
      <c r="G547" s="243" t="s">
        <v>123</v>
      </c>
      <c r="H547" s="151">
        <f t="shared" si="19"/>
        <v>1.9560754541581016E-3</v>
      </c>
      <c r="J547" s="147">
        <v>187.65</v>
      </c>
      <c r="K547" s="147">
        <v>191.29</v>
      </c>
      <c r="L547" s="147">
        <v>184.8</v>
      </c>
      <c r="M547" s="147">
        <v>187.29</v>
      </c>
      <c r="N547" s="147">
        <v>497037</v>
      </c>
      <c r="O547" s="147" t="s">
        <v>123</v>
      </c>
      <c r="P547" s="151">
        <f t="shared" si="20"/>
        <v>1.922152811148603E-3</v>
      </c>
    </row>
    <row r="548" spans="2:16" ht="14.25" customHeight="1">
      <c r="B548" s="243">
        <v>511.5497658900656</v>
      </c>
      <c r="C548" s="243">
        <v>512.50043622565306</v>
      </c>
      <c r="D548" s="243">
        <v>509.23250694707093</v>
      </c>
      <c r="E548" s="243">
        <v>509.4305632669849</v>
      </c>
      <c r="F548" s="243">
        <v>4459984.9193564206</v>
      </c>
      <c r="G548" s="243" t="s">
        <v>122</v>
      </c>
      <c r="H548" s="151">
        <f t="shared" si="19"/>
        <v>4.1599440157069623E-3</v>
      </c>
      <c r="J548" s="147">
        <v>186.94</v>
      </c>
      <c r="K548" s="147">
        <v>200.01</v>
      </c>
      <c r="L548" s="147">
        <v>186.78</v>
      </c>
      <c r="M548" s="147">
        <v>199.31</v>
      </c>
      <c r="N548" s="147">
        <v>601133</v>
      </c>
      <c r="O548" s="147" t="s">
        <v>122</v>
      </c>
      <c r="P548" s="151">
        <f t="shared" si="20"/>
        <v>-6.2064121218202817E-2</v>
      </c>
    </row>
    <row r="549" spans="2:16" ht="14.25" customHeight="1">
      <c r="B549" s="243">
        <v>508.84629712323851</v>
      </c>
      <c r="C549" s="243">
        <v>509.14318354678971</v>
      </c>
      <c r="D549" s="243">
        <v>503.12246947772172</v>
      </c>
      <c r="E549" s="243">
        <v>505.13274112484953</v>
      </c>
      <c r="F549" s="243">
        <v>4139769.9419827382</v>
      </c>
      <c r="G549" s="243" t="s">
        <v>121</v>
      </c>
      <c r="H549" s="151">
        <f t="shared" si="19"/>
        <v>7.3516438275600393E-3</v>
      </c>
      <c r="J549" s="147">
        <v>200.01</v>
      </c>
      <c r="K549" s="147">
        <v>203.63</v>
      </c>
      <c r="L549" s="147">
        <v>198.06</v>
      </c>
      <c r="M549" s="147">
        <v>202.03</v>
      </c>
      <c r="N549" s="147">
        <v>257034</v>
      </c>
      <c r="O549" s="147" t="s">
        <v>121</v>
      </c>
      <c r="P549" s="151">
        <f t="shared" si="20"/>
        <v>-9.9985150720190985E-3</v>
      </c>
    </row>
    <row r="550" spans="2:16" ht="14.25" customHeight="1">
      <c r="B550" s="243">
        <v>504.50886371712022</v>
      </c>
      <c r="C550" s="243">
        <v>505.4793396846992</v>
      </c>
      <c r="D550" s="243">
        <v>491.42724378679566</v>
      </c>
      <c r="E550" s="243">
        <v>499.40891347933285</v>
      </c>
      <c r="F550" s="243">
        <v>4994369.2805619482</v>
      </c>
      <c r="G550" s="243" t="s">
        <v>120</v>
      </c>
      <c r="H550" s="151">
        <f t="shared" si="19"/>
        <v>1.0211972794511137E-2</v>
      </c>
      <c r="J550" s="147">
        <v>202.31</v>
      </c>
      <c r="K550" s="147">
        <v>205.23</v>
      </c>
      <c r="L550" s="147">
        <v>198.87</v>
      </c>
      <c r="M550" s="147">
        <v>201.88</v>
      </c>
      <c r="N550" s="147">
        <v>393491</v>
      </c>
      <c r="O550" s="147" t="s">
        <v>120</v>
      </c>
      <c r="P550" s="151">
        <f t="shared" si="20"/>
        <v>2.129978204874261E-3</v>
      </c>
    </row>
    <row r="551" spans="2:16" ht="14.25" customHeight="1">
      <c r="B551" s="243">
        <v>499.39901066333715</v>
      </c>
      <c r="C551" s="243">
        <v>499.80007471116312</v>
      </c>
      <c r="D551" s="243">
        <v>494.64536190091951</v>
      </c>
      <c r="E551" s="243">
        <v>499.05241210348748</v>
      </c>
      <c r="F551" s="243">
        <v>3004584.7578010764</v>
      </c>
      <c r="G551" s="243" t="s">
        <v>119</v>
      </c>
      <c r="H551" s="151">
        <f t="shared" si="19"/>
        <v>6.9451334457792946E-4</v>
      </c>
      <c r="J551" s="147">
        <v>204.12</v>
      </c>
      <c r="K551" s="147">
        <v>207.81</v>
      </c>
      <c r="L551" s="147">
        <v>194.78</v>
      </c>
      <c r="M551" s="147">
        <v>194.78</v>
      </c>
      <c r="N551" s="147">
        <v>445925</v>
      </c>
      <c r="O551" s="147" t="s">
        <v>119</v>
      </c>
      <c r="P551" s="151">
        <f t="shared" si="20"/>
        <v>4.7951535065201778E-2</v>
      </c>
    </row>
    <row r="552" spans="2:16" ht="14.25" customHeight="1">
      <c r="B552" s="243">
        <v>497.34912775222648</v>
      </c>
      <c r="C552" s="243">
        <v>498.47804877573668</v>
      </c>
      <c r="D552" s="243">
        <v>493.90294778572161</v>
      </c>
      <c r="E552" s="243">
        <v>495.73496874492679</v>
      </c>
      <c r="F552" s="243">
        <v>3692683.9815932065</v>
      </c>
      <c r="G552" s="243" t="s">
        <v>118</v>
      </c>
      <c r="H552" s="151">
        <f t="shared" si="19"/>
        <v>3.2560926887734709E-3</v>
      </c>
      <c r="J552" s="147">
        <v>195.08</v>
      </c>
      <c r="K552" s="147">
        <v>204.8</v>
      </c>
      <c r="L552" s="147">
        <v>194.86</v>
      </c>
      <c r="M552" s="147">
        <v>203.98</v>
      </c>
      <c r="N552" s="147">
        <v>550892</v>
      </c>
      <c r="O552" s="147" t="s">
        <v>118</v>
      </c>
      <c r="P552" s="151">
        <f t="shared" si="20"/>
        <v>-4.3631728600843078E-2</v>
      </c>
    </row>
    <row r="553" spans="2:16" ht="14.25" customHeight="1">
      <c r="B553" s="243">
        <v>491.81345361062807</v>
      </c>
      <c r="C553" s="243">
        <v>502.01335408620292</v>
      </c>
      <c r="D553" s="243">
        <v>490.98161706698903</v>
      </c>
      <c r="E553" s="243">
        <v>500.42890352689028</v>
      </c>
      <c r="F553" s="243">
        <v>7484173.1919642175</v>
      </c>
      <c r="G553" s="243" t="s">
        <v>117</v>
      </c>
      <c r="H553" s="151">
        <f t="shared" si="19"/>
        <v>-1.7216131713301941E-2</v>
      </c>
      <c r="J553" s="147">
        <v>203.73</v>
      </c>
      <c r="K553" s="147">
        <v>205.99590000000001</v>
      </c>
      <c r="L553" s="147">
        <v>199.93</v>
      </c>
      <c r="M553" s="147">
        <v>204.46</v>
      </c>
      <c r="N553" s="147">
        <v>539207</v>
      </c>
      <c r="O553" s="147" t="s">
        <v>117</v>
      </c>
      <c r="P553" s="151">
        <f t="shared" si="20"/>
        <v>-3.5703805145261835E-3</v>
      </c>
    </row>
    <row r="554" spans="2:16" ht="14.25" customHeight="1">
      <c r="B554" s="243">
        <v>500.14172186301494</v>
      </c>
      <c r="C554" s="243">
        <v>503.99391728534363</v>
      </c>
      <c r="D554" s="243">
        <v>497.95319952796439</v>
      </c>
      <c r="E554" s="243">
        <v>501.43899075845212</v>
      </c>
      <c r="F554" s="243">
        <v>3459186.762115113</v>
      </c>
      <c r="G554" s="243" t="s">
        <v>116</v>
      </c>
      <c r="H554" s="151">
        <f t="shared" si="19"/>
        <v>-2.5870921873766273E-3</v>
      </c>
      <c r="J554" s="147">
        <v>204.04</v>
      </c>
      <c r="K554" s="147">
        <v>205.51</v>
      </c>
      <c r="L554" s="147">
        <v>199.99</v>
      </c>
      <c r="M554" s="147">
        <v>202.39</v>
      </c>
      <c r="N554" s="147">
        <v>306028</v>
      </c>
      <c r="O554" s="147" t="s">
        <v>116</v>
      </c>
      <c r="P554" s="151">
        <f t="shared" si="20"/>
        <v>8.1525767083354683E-3</v>
      </c>
    </row>
    <row r="555" spans="2:16" ht="14.25" customHeight="1">
      <c r="B555" s="243">
        <v>501.37957386247791</v>
      </c>
      <c r="C555" s="243">
        <v>504.57818342909013</v>
      </c>
      <c r="D555" s="243">
        <v>500.11201341502777</v>
      </c>
      <c r="E555" s="243">
        <v>500.76559927074425</v>
      </c>
      <c r="F555" s="243">
        <v>3636716.0629486055</v>
      </c>
      <c r="G555" s="243" t="s">
        <v>115</v>
      </c>
      <c r="H555" s="151">
        <f t="shared" si="19"/>
        <v>1.2260718240786339E-3</v>
      </c>
      <c r="J555" s="147">
        <v>202.55</v>
      </c>
      <c r="K555" s="147">
        <v>209.68</v>
      </c>
      <c r="L555" s="147">
        <v>202.17</v>
      </c>
      <c r="M555" s="147">
        <v>204.11</v>
      </c>
      <c r="N555" s="147">
        <v>340274</v>
      </c>
      <c r="O555" s="147" t="s">
        <v>115</v>
      </c>
      <c r="P555" s="151">
        <f t="shared" si="20"/>
        <v>-7.6429376316692332E-3</v>
      </c>
    </row>
    <row r="556" spans="2:16" ht="14.25" customHeight="1">
      <c r="B556" s="243">
        <v>502.62732867793653</v>
      </c>
      <c r="C556" s="243">
        <v>510.42084486655529</v>
      </c>
      <c r="D556" s="243">
        <v>500.19123594299344</v>
      </c>
      <c r="E556" s="243">
        <v>510.11385757068854</v>
      </c>
      <c r="F556" s="243">
        <v>5924012.9298021281</v>
      </c>
      <c r="G556" s="243" t="s">
        <v>114</v>
      </c>
      <c r="H556" s="151">
        <f t="shared" si="19"/>
        <v>-1.4676191955272588E-2</v>
      </c>
      <c r="J556" s="147">
        <v>204.97</v>
      </c>
      <c r="K556" s="147">
        <v>209.245</v>
      </c>
      <c r="L556" s="147">
        <v>203.01</v>
      </c>
      <c r="M556" s="147">
        <v>203.01</v>
      </c>
      <c r="N556" s="147">
        <v>358909</v>
      </c>
      <c r="O556" s="147" t="s">
        <v>114</v>
      </c>
      <c r="P556" s="151">
        <f t="shared" si="20"/>
        <v>9.6546968129649358E-3</v>
      </c>
    </row>
    <row r="557" spans="2:16" ht="14.25" customHeight="1">
      <c r="B557" s="243">
        <v>513.00547984143395</v>
      </c>
      <c r="C557" s="243">
        <v>513.54023190520206</v>
      </c>
      <c r="D557" s="243">
        <v>507.14301277197745</v>
      </c>
      <c r="E557" s="243">
        <v>510.41094205055958</v>
      </c>
      <c r="F557" s="243">
        <v>5693052.3625258831</v>
      </c>
      <c r="G557" s="243" t="s">
        <v>113</v>
      </c>
      <c r="H557" s="151">
        <f t="shared" si="19"/>
        <v>5.0832330914594159E-3</v>
      </c>
      <c r="J557" s="147">
        <v>202.32</v>
      </c>
      <c r="K557" s="147">
        <v>203.83500000000001</v>
      </c>
      <c r="L557" s="147">
        <v>199.86</v>
      </c>
      <c r="M557" s="147">
        <v>202.35</v>
      </c>
      <c r="N557" s="147">
        <v>267470</v>
      </c>
      <c r="O557" s="147" t="s">
        <v>113</v>
      </c>
      <c r="P557" s="151">
        <f t="shared" si="20"/>
        <v>-1.482579688658614E-4</v>
      </c>
    </row>
    <row r="558" spans="2:16" ht="14.25" customHeight="1">
      <c r="B558" s="243">
        <v>508.22241971550915</v>
      </c>
      <c r="C558" s="243">
        <v>513.05499392141257</v>
      </c>
      <c r="D558" s="243">
        <v>507.1529155879731</v>
      </c>
      <c r="E558" s="243">
        <v>509.98512096274442</v>
      </c>
      <c r="F558" s="243">
        <v>3521367.0551011832</v>
      </c>
      <c r="G558" s="243" t="s">
        <v>112</v>
      </c>
      <c r="H558" s="151">
        <f t="shared" si="19"/>
        <v>-3.4563777937436369E-3</v>
      </c>
      <c r="J558" s="147">
        <v>202.4</v>
      </c>
      <c r="K558" s="147">
        <v>204.93</v>
      </c>
      <c r="L558" s="147">
        <v>201.4</v>
      </c>
      <c r="M558" s="147">
        <v>202.24</v>
      </c>
      <c r="N558" s="147">
        <v>286392</v>
      </c>
      <c r="O558" s="147" t="s">
        <v>112</v>
      </c>
      <c r="P558" s="151">
        <f t="shared" si="20"/>
        <v>7.9113924050622231E-4</v>
      </c>
    </row>
    <row r="559" spans="2:16" ht="14.25" customHeight="1">
      <c r="B559" s="243">
        <v>508.14319718754348</v>
      </c>
      <c r="C559" s="243">
        <v>511.21307014621163</v>
      </c>
      <c r="D559" s="243">
        <v>505.2020608368195</v>
      </c>
      <c r="E559" s="243">
        <v>510.78724905839636</v>
      </c>
      <c r="F559" s="243">
        <v>3979098.4723027707</v>
      </c>
      <c r="G559" s="243" t="s">
        <v>111</v>
      </c>
      <c r="H559" s="151">
        <f t="shared" si="19"/>
        <v>-5.1764249709189691E-3</v>
      </c>
      <c r="J559" s="147">
        <v>200.46</v>
      </c>
      <c r="K559" s="147">
        <v>204.35</v>
      </c>
      <c r="L559" s="147">
        <v>197.98</v>
      </c>
      <c r="M559" s="147">
        <v>203.36</v>
      </c>
      <c r="N559" s="147">
        <v>323259</v>
      </c>
      <c r="O559" s="147" t="s">
        <v>111</v>
      </c>
      <c r="P559" s="151">
        <f t="shared" si="20"/>
        <v>-1.4260424862313159E-2</v>
      </c>
    </row>
    <row r="560" spans="2:16" ht="14.25" customHeight="1">
      <c r="B560" s="243">
        <v>511.06452790627611</v>
      </c>
      <c r="C560" s="243">
        <v>511.569571522057</v>
      </c>
      <c r="D560" s="243">
        <v>508.17290563553058</v>
      </c>
      <c r="E560" s="243">
        <v>509.26221539505798</v>
      </c>
      <c r="F560" s="243">
        <v>3061531.1859932854</v>
      </c>
      <c r="G560" s="243" t="s">
        <v>110</v>
      </c>
      <c r="H560" s="151">
        <f t="shared" si="19"/>
        <v>3.5390658421812216E-3</v>
      </c>
      <c r="J560" s="147">
        <v>203.16</v>
      </c>
      <c r="K560" s="147">
        <v>203.99</v>
      </c>
      <c r="L560" s="147">
        <v>199.39500000000001</v>
      </c>
      <c r="M560" s="147">
        <v>200.53</v>
      </c>
      <c r="N560" s="147">
        <v>334792</v>
      </c>
      <c r="O560" s="147" t="s">
        <v>110</v>
      </c>
      <c r="P560" s="151">
        <f t="shared" si="20"/>
        <v>1.3115244601805243E-2</v>
      </c>
    </row>
    <row r="561" spans="2:16" ht="14.25" customHeight="1">
      <c r="B561" s="243">
        <v>510.38123360257254</v>
      </c>
      <c r="C561" s="243">
        <v>513.2530502413266</v>
      </c>
      <c r="D561" s="243">
        <v>508.88095697922341</v>
      </c>
      <c r="E561" s="243">
        <v>512.60936720160589</v>
      </c>
      <c r="F561" s="243">
        <v>3431993.4869783409</v>
      </c>
      <c r="G561" s="243" t="s">
        <v>109</v>
      </c>
      <c r="H561" s="151">
        <f t="shared" si="19"/>
        <v>-4.3466501815934144E-3</v>
      </c>
      <c r="J561" s="147">
        <v>202.07</v>
      </c>
      <c r="K561" s="147">
        <v>210.01499999999999</v>
      </c>
      <c r="L561" s="147">
        <v>201.98</v>
      </c>
      <c r="M561" s="147">
        <v>209.54</v>
      </c>
      <c r="N561" s="147">
        <v>420489</v>
      </c>
      <c r="O561" s="147" t="s">
        <v>109</v>
      </c>
      <c r="P561" s="151">
        <f t="shared" si="20"/>
        <v>-3.5649517991791502E-2</v>
      </c>
    </row>
    <row r="562" spans="2:16" ht="14.25" customHeight="1">
      <c r="B562" s="243">
        <v>511.63889123402686</v>
      </c>
      <c r="C562" s="243">
        <v>512.52024185764446</v>
      </c>
      <c r="D562" s="243">
        <v>507.27382897128069</v>
      </c>
      <c r="E562" s="243">
        <v>509.331535107028</v>
      </c>
      <c r="F562" s="243">
        <v>5152868.6408127062</v>
      </c>
      <c r="G562" s="243" t="s">
        <v>108</v>
      </c>
      <c r="H562" s="151">
        <f t="shared" si="19"/>
        <v>4.5301654579743555E-3</v>
      </c>
      <c r="J562" s="147">
        <v>210.12</v>
      </c>
      <c r="K562" s="147">
        <v>211.185</v>
      </c>
      <c r="L562" s="147">
        <v>198.66</v>
      </c>
      <c r="M562" s="147">
        <v>199.24</v>
      </c>
      <c r="N562" s="147">
        <v>983455</v>
      </c>
      <c r="O562" s="147" t="s">
        <v>108</v>
      </c>
      <c r="P562" s="151">
        <f t="shared" si="20"/>
        <v>5.4607508532423132E-2</v>
      </c>
    </row>
    <row r="563" spans="2:16" ht="14.25" customHeight="1">
      <c r="B563" s="243">
        <v>506.16263398840277</v>
      </c>
      <c r="C563" s="243">
        <v>512.59946438561019</v>
      </c>
      <c r="D563" s="243">
        <v>505.14264394084529</v>
      </c>
      <c r="E563" s="243">
        <v>512.02510105785927</v>
      </c>
      <c r="F563" s="243">
        <v>3713173.1030802694</v>
      </c>
      <c r="G563" s="243" t="s">
        <v>107</v>
      </c>
      <c r="H563" s="151">
        <f t="shared" si="19"/>
        <v>-1.1449569674112592E-2</v>
      </c>
      <c r="J563" s="147">
        <v>197.57</v>
      </c>
      <c r="K563" s="147">
        <v>200.16</v>
      </c>
      <c r="L563" s="147">
        <v>195.03</v>
      </c>
      <c r="M563" s="147">
        <v>196</v>
      </c>
      <c r="N563" s="147">
        <v>382720</v>
      </c>
      <c r="O563" s="147" t="s">
        <v>107</v>
      </c>
      <c r="P563" s="151">
        <f t="shared" si="20"/>
        <v>8.0102040816325548E-3</v>
      </c>
    </row>
    <row r="564" spans="2:16" ht="14.25" customHeight="1">
      <c r="B564" s="243">
        <v>510.29210825861117</v>
      </c>
      <c r="C564" s="243">
        <v>511.63879220586693</v>
      </c>
      <c r="D564" s="243">
        <v>507.86591833966384</v>
      </c>
      <c r="E564" s="243">
        <v>509.47017453096782</v>
      </c>
      <c r="F564" s="243">
        <v>3376867.7530217734</v>
      </c>
      <c r="G564" s="243" t="s">
        <v>106</v>
      </c>
      <c r="H564" s="151">
        <f t="shared" si="19"/>
        <v>1.6133107858571361E-3</v>
      </c>
      <c r="J564" s="147">
        <v>195.21</v>
      </c>
      <c r="K564" s="147">
        <v>195.94499999999999</v>
      </c>
      <c r="L564" s="147">
        <v>191.52</v>
      </c>
      <c r="M564" s="147">
        <v>193.19</v>
      </c>
      <c r="N564" s="147">
        <v>331885</v>
      </c>
      <c r="O564" s="147" t="s">
        <v>106</v>
      </c>
      <c r="P564" s="151">
        <f t="shared" si="20"/>
        <v>1.0456027744707441E-2</v>
      </c>
    </row>
    <row r="565" spans="2:16" ht="14.25" customHeight="1">
      <c r="B565" s="243">
        <v>508.50960137938455</v>
      </c>
      <c r="C565" s="243">
        <v>510.47025991837393</v>
      </c>
      <c r="D565" s="243">
        <v>507.27174937992157</v>
      </c>
      <c r="E565" s="243">
        <v>508.92551965120407</v>
      </c>
      <c r="F565" s="243">
        <v>3186953.0862425533</v>
      </c>
      <c r="G565" s="243" t="s">
        <v>105</v>
      </c>
      <c r="H565" s="151">
        <f t="shared" si="19"/>
        <v>-8.1724782067238433E-4</v>
      </c>
      <c r="J565" s="147">
        <v>192.07</v>
      </c>
      <c r="K565" s="147">
        <v>192.77</v>
      </c>
      <c r="L565" s="147">
        <v>187.99</v>
      </c>
      <c r="M565" s="147">
        <v>190.67</v>
      </c>
      <c r="N565" s="147">
        <v>550211</v>
      </c>
      <c r="O565" s="147" t="s">
        <v>105</v>
      </c>
      <c r="P565" s="151">
        <f t="shared" si="20"/>
        <v>7.3425289767661273E-3</v>
      </c>
    </row>
    <row r="566" spans="2:16" ht="14.25" customHeight="1">
      <c r="B566" s="243">
        <v>509.35134073901935</v>
      </c>
      <c r="C566" s="243">
        <v>509.35134073901935</v>
      </c>
      <c r="D566" s="243">
        <v>504.1127510772921</v>
      </c>
      <c r="E566" s="243">
        <v>504.9049763569484</v>
      </c>
      <c r="F566" s="243">
        <v>3841647.6703702165</v>
      </c>
      <c r="G566" s="243" t="s">
        <v>104</v>
      </c>
      <c r="H566" s="151">
        <f t="shared" si="19"/>
        <v>8.8063389950181481E-3</v>
      </c>
      <c r="J566" s="147">
        <v>191.45</v>
      </c>
      <c r="K566" s="147">
        <v>194.44</v>
      </c>
      <c r="L566" s="147">
        <v>188.62</v>
      </c>
      <c r="M566" s="147">
        <v>190.23</v>
      </c>
      <c r="N566" s="147">
        <v>419716</v>
      </c>
      <c r="O566" s="147" t="s">
        <v>104</v>
      </c>
      <c r="P566" s="151">
        <f t="shared" si="20"/>
        <v>6.4132891762602728E-3</v>
      </c>
    </row>
    <row r="567" spans="2:16" ht="14.25" customHeight="1">
      <c r="B567" s="243">
        <v>504.49896090112452</v>
      </c>
      <c r="C567" s="243">
        <v>505.15254675684099</v>
      </c>
      <c r="D567" s="243">
        <v>501.72617242232747</v>
      </c>
      <c r="E567" s="243">
        <v>501.91432592624585</v>
      </c>
      <c r="F567" s="243">
        <v>3483136.5154078021</v>
      </c>
      <c r="G567" s="243" t="s">
        <v>103</v>
      </c>
      <c r="H567" s="151">
        <f t="shared" si="19"/>
        <v>5.149554099913134E-3</v>
      </c>
      <c r="J567" s="147">
        <v>190.51</v>
      </c>
      <c r="K567" s="147">
        <v>191.16</v>
      </c>
      <c r="L567" s="147">
        <v>186.68</v>
      </c>
      <c r="M567" s="147">
        <v>188.88</v>
      </c>
      <c r="N567" s="147">
        <v>320096</v>
      </c>
      <c r="O567" s="147" t="s">
        <v>103</v>
      </c>
      <c r="P567" s="151">
        <f t="shared" si="20"/>
        <v>8.6298178737822528E-3</v>
      </c>
    </row>
    <row r="568" spans="2:16" ht="14.25" customHeight="1">
      <c r="B568" s="243">
        <v>503.43935958958423</v>
      </c>
      <c r="C568" s="243">
        <v>503.64731872549402</v>
      </c>
      <c r="D568" s="243">
        <v>499.58290595637737</v>
      </c>
      <c r="E568" s="243">
        <v>500.18133312699769</v>
      </c>
      <c r="F568" s="243">
        <v>4320945.680356387</v>
      </c>
      <c r="G568" s="243" t="s">
        <v>102</v>
      </c>
      <c r="H568" s="151">
        <f t="shared" si="19"/>
        <v>6.5136906293927765E-3</v>
      </c>
      <c r="J568" s="147">
        <v>189.26</v>
      </c>
      <c r="K568" s="147">
        <v>192.05</v>
      </c>
      <c r="L568" s="147">
        <v>184.19</v>
      </c>
      <c r="M568" s="147">
        <v>184.29</v>
      </c>
      <c r="N568" s="147">
        <v>520750</v>
      </c>
      <c r="O568" s="147" t="s">
        <v>102</v>
      </c>
      <c r="P568" s="151">
        <f t="shared" si="20"/>
        <v>2.6968365076781131E-2</v>
      </c>
    </row>
    <row r="569" spans="2:16" ht="14.25" customHeight="1">
      <c r="B569" s="243">
        <v>494.9427434652705</v>
      </c>
      <c r="C569" s="243">
        <v>495.98253914481938</v>
      </c>
      <c r="D569" s="243">
        <v>491.65302799149771</v>
      </c>
      <c r="E569" s="243">
        <v>494.07129565764859</v>
      </c>
      <c r="F569" s="243">
        <v>3736818.9024267974</v>
      </c>
      <c r="G569" s="243" t="s">
        <v>101</v>
      </c>
      <c r="H569" s="151">
        <f t="shared" si="19"/>
        <v>1.7638098292311888E-3</v>
      </c>
      <c r="J569" s="147">
        <v>183.1</v>
      </c>
      <c r="K569" s="147">
        <v>187.845</v>
      </c>
      <c r="L569" s="147">
        <v>181.13</v>
      </c>
      <c r="M569" s="147">
        <v>186.75</v>
      </c>
      <c r="N569" s="147">
        <v>545044</v>
      </c>
      <c r="O569" s="147" t="s">
        <v>101</v>
      </c>
      <c r="P569" s="151">
        <f t="shared" si="20"/>
        <v>-1.9544846050870146E-2</v>
      </c>
    </row>
    <row r="570" spans="2:16" ht="14.25" customHeight="1">
      <c r="B570" s="243">
        <v>493.36819572195355</v>
      </c>
      <c r="C570" s="243">
        <v>493.53654359388054</v>
      </c>
      <c r="D570" s="243">
        <v>488.12960606022637</v>
      </c>
      <c r="E570" s="243">
        <v>488.3474680121318</v>
      </c>
      <c r="F570" s="243">
        <v>3279761.0310128825</v>
      </c>
      <c r="G570" s="243" t="s">
        <v>100</v>
      </c>
      <c r="H570" s="151">
        <f t="shared" si="19"/>
        <v>1.0281056089548546E-2</v>
      </c>
      <c r="J570" s="147">
        <v>186.94</v>
      </c>
      <c r="K570" s="147">
        <v>194.51</v>
      </c>
      <c r="L570" s="147">
        <v>174.23</v>
      </c>
      <c r="M570" s="147">
        <v>177.29</v>
      </c>
      <c r="N570" s="147">
        <v>1046475</v>
      </c>
      <c r="O570" s="147" t="s">
        <v>100</v>
      </c>
      <c r="P570" s="151">
        <f t="shared" si="20"/>
        <v>5.4430593942128791E-2</v>
      </c>
    </row>
    <row r="571" spans="2:16" ht="14.25" customHeight="1">
      <c r="B571" s="243">
        <v>485.3073035014508</v>
      </c>
      <c r="C571" s="243">
        <v>487.56514554847126</v>
      </c>
      <c r="D571" s="243">
        <v>483.23761495834873</v>
      </c>
      <c r="E571" s="243">
        <v>486.16884849307701</v>
      </c>
      <c r="F571" s="243">
        <v>3613249.0006401851</v>
      </c>
      <c r="G571" s="243" t="s">
        <v>99</v>
      </c>
      <c r="H571" s="151">
        <f t="shared" si="19"/>
        <v>-1.7721106448852497E-3</v>
      </c>
      <c r="J571" s="147">
        <v>168.79</v>
      </c>
      <c r="K571" s="147">
        <v>172.42</v>
      </c>
      <c r="L571" s="147">
        <v>168.3</v>
      </c>
      <c r="M571" s="147">
        <v>169.45</v>
      </c>
      <c r="N571" s="147">
        <v>383916</v>
      </c>
      <c r="O571" s="147" t="s">
        <v>99</v>
      </c>
      <c r="P571" s="151">
        <f t="shared" si="20"/>
        <v>-3.8949542637946033E-3</v>
      </c>
    </row>
    <row r="572" spans="2:16" ht="14.25" customHeight="1">
      <c r="B572" s="243">
        <v>485.05973310155821</v>
      </c>
      <c r="C572" s="243">
        <v>486.43622452496101</v>
      </c>
      <c r="D572" s="243">
        <v>481.09860670327669</v>
      </c>
      <c r="E572" s="243">
        <v>482.19781927879984</v>
      </c>
      <c r="F572" s="243">
        <v>7736517.5757318391</v>
      </c>
      <c r="G572" s="243" t="s">
        <v>98</v>
      </c>
      <c r="H572" s="151">
        <f t="shared" si="19"/>
        <v>5.9351446819870812E-3</v>
      </c>
      <c r="J572" s="147">
        <v>170.03</v>
      </c>
      <c r="K572" s="147">
        <v>171.27</v>
      </c>
      <c r="L572" s="147">
        <v>166.64</v>
      </c>
      <c r="M572" s="147">
        <v>170.11</v>
      </c>
      <c r="N572" s="147">
        <v>294006</v>
      </c>
      <c r="O572" s="147" t="s">
        <v>98</v>
      </c>
      <c r="P572" s="151">
        <f t="shared" si="20"/>
        <v>-4.7028393392523071E-4</v>
      </c>
    </row>
    <row r="573" spans="2:16" ht="14.25" customHeight="1">
      <c r="B573" s="243">
        <v>482.99004455845613</v>
      </c>
      <c r="C573" s="243">
        <v>483.52479662222407</v>
      </c>
      <c r="D573" s="243">
        <v>474.97866641793183</v>
      </c>
      <c r="E573" s="243">
        <v>476.81068737713701</v>
      </c>
      <c r="F573" s="243">
        <v>4218228.4330157014</v>
      </c>
      <c r="G573" s="243" t="s">
        <v>97</v>
      </c>
      <c r="H573" s="151">
        <f t="shared" si="19"/>
        <v>1.295977071174903E-2</v>
      </c>
      <c r="J573" s="147">
        <v>169.38</v>
      </c>
      <c r="K573" s="147">
        <v>170.13</v>
      </c>
      <c r="L573" s="147">
        <v>164.42</v>
      </c>
      <c r="M573" s="147">
        <v>164.42</v>
      </c>
      <c r="N573" s="147">
        <v>349259</v>
      </c>
      <c r="O573" s="147" t="s">
        <v>97</v>
      </c>
      <c r="P573" s="151">
        <f t="shared" si="20"/>
        <v>3.0166646393382957E-2</v>
      </c>
    </row>
    <row r="574" spans="2:16" ht="14.25" customHeight="1">
      <c r="B574" s="243">
        <v>471.97811317123364</v>
      </c>
      <c r="C574" s="243">
        <v>483.80207547010383</v>
      </c>
      <c r="D574" s="243">
        <v>471.48297237144845</v>
      </c>
      <c r="E574" s="243">
        <v>480.97977291132827</v>
      </c>
      <c r="F574" s="243">
        <v>6035001.5617707362</v>
      </c>
      <c r="G574" s="243" t="s">
        <v>96</v>
      </c>
      <c r="H574" s="151">
        <f t="shared" si="19"/>
        <v>-1.8715256331068519E-2</v>
      </c>
      <c r="J574" s="147">
        <v>163.63999999999999</v>
      </c>
      <c r="K574" s="147">
        <v>172.16</v>
      </c>
      <c r="L574" s="147">
        <v>163.63</v>
      </c>
      <c r="M574" s="147">
        <v>171.57</v>
      </c>
      <c r="N574" s="147">
        <v>451656</v>
      </c>
      <c r="O574" s="147" t="s">
        <v>96</v>
      </c>
      <c r="P574" s="151">
        <f t="shared" si="20"/>
        <v>-4.6220201666958172E-2</v>
      </c>
    </row>
    <row r="575" spans="2:16" ht="14.25" customHeight="1">
      <c r="B575" s="243">
        <v>475.27575089780294</v>
      </c>
      <c r="C575" s="243">
        <v>482.12849956682993</v>
      </c>
      <c r="D575" s="243">
        <v>471.31462449952147</v>
      </c>
      <c r="E575" s="243">
        <v>472.75053281889848</v>
      </c>
      <c r="F575" s="243">
        <v>8336053.1020483728</v>
      </c>
      <c r="G575" s="243" t="s">
        <v>95</v>
      </c>
      <c r="H575" s="151">
        <f t="shared" si="19"/>
        <v>5.3415446490290286E-3</v>
      </c>
      <c r="J575" s="147">
        <v>171.44</v>
      </c>
      <c r="K575" s="147">
        <v>177.9932</v>
      </c>
      <c r="L575" s="147">
        <v>171.41</v>
      </c>
      <c r="M575" s="147">
        <v>177.46</v>
      </c>
      <c r="N575" s="147">
        <v>551861</v>
      </c>
      <c r="O575" s="147" t="s">
        <v>95</v>
      </c>
      <c r="P575" s="151">
        <f t="shared" si="20"/>
        <v>-3.3923137608475207E-2</v>
      </c>
    </row>
    <row r="576" spans="2:16" ht="14.25" customHeight="1">
      <c r="B576" s="243">
        <v>470.58181611583939</v>
      </c>
      <c r="C576" s="243">
        <v>476.50370008127021</v>
      </c>
      <c r="D576" s="243">
        <v>464.33313922255036</v>
      </c>
      <c r="E576" s="243">
        <v>465.60069967000044</v>
      </c>
      <c r="F576" s="243">
        <v>15393879.888926227</v>
      </c>
      <c r="G576" s="243" t="s">
        <v>94</v>
      </c>
      <c r="H576" s="151">
        <f t="shared" si="19"/>
        <v>1.0698258076865752E-2</v>
      </c>
      <c r="J576" s="147">
        <v>177.56</v>
      </c>
      <c r="K576" s="147">
        <v>181.44</v>
      </c>
      <c r="L576" s="147">
        <v>169.84</v>
      </c>
      <c r="M576" s="147">
        <v>170.63</v>
      </c>
      <c r="N576" s="147">
        <v>617380</v>
      </c>
      <c r="O576" s="147" t="s">
        <v>94</v>
      </c>
      <c r="P576" s="151">
        <f t="shared" si="20"/>
        <v>4.0614194455840247E-2</v>
      </c>
    </row>
    <row r="577" spans="2:16" ht="14.25" customHeight="1">
      <c r="B577" s="243">
        <v>485.14885844551952</v>
      </c>
      <c r="C577" s="243">
        <v>488.72377501996851</v>
      </c>
      <c r="D577" s="243">
        <v>481.07880107128534</v>
      </c>
      <c r="E577" s="243">
        <v>487.62456244444547</v>
      </c>
      <c r="F577" s="243">
        <v>8645183.3536180388</v>
      </c>
      <c r="G577" s="243" t="s">
        <v>93</v>
      </c>
      <c r="H577" s="151">
        <f t="shared" si="19"/>
        <v>-5.0770699214069959E-3</v>
      </c>
      <c r="J577" s="147">
        <v>175.51</v>
      </c>
      <c r="K577" s="147">
        <v>180.5</v>
      </c>
      <c r="L577" s="147">
        <v>167.76</v>
      </c>
      <c r="M577" s="147">
        <v>169.91</v>
      </c>
      <c r="N577" s="147">
        <v>850453</v>
      </c>
      <c r="O577" s="147" t="s">
        <v>93</v>
      </c>
      <c r="P577" s="151">
        <f t="shared" si="20"/>
        <v>3.2958625154493548E-2</v>
      </c>
    </row>
    <row r="578" spans="2:16" ht="14.25" customHeight="1">
      <c r="B578" s="243">
        <v>494.18022663360125</v>
      </c>
      <c r="C578" s="243">
        <v>504.9445876209312</v>
      </c>
      <c r="D578" s="243">
        <v>490.93210298701047</v>
      </c>
      <c r="E578" s="243">
        <v>502.90460752581623</v>
      </c>
      <c r="F578" s="243">
        <v>7007316.9116850803</v>
      </c>
      <c r="G578" s="243" t="s">
        <v>92</v>
      </c>
      <c r="H578" s="151">
        <f t="shared" si="19"/>
        <v>-1.7347983616887275E-2</v>
      </c>
      <c r="J578" s="147">
        <v>171.25</v>
      </c>
      <c r="K578" s="147">
        <v>172.85</v>
      </c>
      <c r="L578" s="147">
        <v>160.18</v>
      </c>
      <c r="M578" s="147">
        <v>168.73</v>
      </c>
      <c r="N578" s="147">
        <v>726531</v>
      </c>
      <c r="O578" s="147" t="s">
        <v>92</v>
      </c>
      <c r="P578" s="151">
        <f t="shared" si="20"/>
        <v>1.493510341966453E-2</v>
      </c>
    </row>
    <row r="579" spans="2:16" ht="14.25" customHeight="1">
      <c r="B579" s="243">
        <v>501.01316967063684</v>
      </c>
      <c r="C579" s="243">
        <v>503.7099045225869</v>
      </c>
      <c r="D579" s="243">
        <v>498.41368047176462</v>
      </c>
      <c r="E579" s="243">
        <v>499.57726135125984</v>
      </c>
      <c r="F579" s="243">
        <v>5420263.289077281</v>
      </c>
      <c r="G579" s="243" t="s">
        <v>91</v>
      </c>
      <c r="H579" s="151">
        <f t="shared" si="19"/>
        <v>2.8742467491278401E-3</v>
      </c>
      <c r="J579" s="147">
        <v>167.09</v>
      </c>
      <c r="K579" s="147">
        <v>176.745</v>
      </c>
      <c r="L579" s="147">
        <v>148</v>
      </c>
      <c r="M579" s="147">
        <v>151.97999999999999</v>
      </c>
      <c r="N579" s="147">
        <v>2326977</v>
      </c>
      <c r="O579" s="147" t="s">
        <v>91</v>
      </c>
      <c r="P579" s="151">
        <f t="shared" si="20"/>
        <v>9.942097644426906E-2</v>
      </c>
    </row>
    <row r="580" spans="2:16" ht="14.25" customHeight="1">
      <c r="B580" s="243">
        <v>493.23945911400943</v>
      </c>
      <c r="C580" s="243">
        <v>498.12154739989137</v>
      </c>
      <c r="D580" s="243">
        <v>490.10521785136922</v>
      </c>
      <c r="E580" s="243">
        <v>497.1708770643038</v>
      </c>
      <c r="F580" s="243">
        <v>3855267.0287485314</v>
      </c>
      <c r="G580" s="243" t="s">
        <v>90</v>
      </c>
      <c r="H580" s="151">
        <f t="shared" si="19"/>
        <v>-7.9075789264017038E-3</v>
      </c>
      <c r="J580" s="147">
        <v>173.09</v>
      </c>
      <c r="K580" s="147">
        <v>180.8</v>
      </c>
      <c r="L580" s="147">
        <v>171.66</v>
      </c>
      <c r="M580" s="147">
        <v>178.52</v>
      </c>
      <c r="N580" s="147">
        <v>921460</v>
      </c>
      <c r="O580" s="147" t="s">
        <v>90</v>
      </c>
      <c r="P580" s="151">
        <f t="shared" si="20"/>
        <v>-3.0416760026887757E-2</v>
      </c>
    </row>
    <row r="581" spans="2:16" ht="14.25" customHeight="1">
      <c r="B581" s="243">
        <v>495.8339969048838</v>
      </c>
      <c r="C581" s="243">
        <v>497.87892840799663</v>
      </c>
      <c r="D581" s="243">
        <v>493.92730871307106</v>
      </c>
      <c r="E581" s="243">
        <v>496.9431122964026</v>
      </c>
      <c r="F581" s="243">
        <v>3126563.1930788858</v>
      </c>
      <c r="G581" s="243" t="s">
        <v>89</v>
      </c>
      <c r="H581" s="151">
        <f t="shared" si="19"/>
        <v>-2.2318759714637926E-3</v>
      </c>
      <c r="J581" s="147">
        <v>178.38</v>
      </c>
      <c r="K581" s="147">
        <v>181.75</v>
      </c>
      <c r="L581" s="147">
        <v>174.05</v>
      </c>
      <c r="M581" s="147">
        <v>180.94</v>
      </c>
      <c r="N581" s="147">
        <v>673391</v>
      </c>
      <c r="O581" s="147" t="s">
        <v>89</v>
      </c>
      <c r="P581" s="151">
        <f t="shared" si="20"/>
        <v>-1.4148336465126587E-2</v>
      </c>
    </row>
    <row r="582" spans="2:16" ht="14.25" customHeight="1">
      <c r="B582" s="243">
        <v>495.46759271304273</v>
      </c>
      <c r="C582" s="243">
        <v>497.99776219994504</v>
      </c>
      <c r="D582" s="243">
        <v>492.83344365818562</v>
      </c>
      <c r="E582" s="243">
        <v>493.51673796188913</v>
      </c>
      <c r="F582" s="243">
        <v>3671666.7275020173</v>
      </c>
      <c r="G582" s="243" t="s">
        <v>88</v>
      </c>
      <c r="H582" s="151">
        <f t="shared" si="19"/>
        <v>3.9529657275865215E-3</v>
      </c>
      <c r="J582" s="147">
        <v>178.43</v>
      </c>
      <c r="K582" s="147">
        <v>191.52500000000001</v>
      </c>
      <c r="L582" s="147">
        <v>176.66</v>
      </c>
      <c r="M582" s="147">
        <v>190.16</v>
      </c>
      <c r="N582" s="147">
        <v>552683</v>
      </c>
      <c r="O582" s="147" t="s">
        <v>88</v>
      </c>
      <c r="P582" s="151">
        <f t="shared" si="20"/>
        <v>-6.1684896928901889E-2</v>
      </c>
    </row>
    <row r="583" spans="2:16" ht="14.25" customHeight="1">
      <c r="B583" s="243">
        <v>489.97152983542719</v>
      </c>
      <c r="C583" s="243">
        <v>498.25028400783549</v>
      </c>
      <c r="D583" s="243">
        <v>489.11988765979675</v>
      </c>
      <c r="E583" s="243">
        <v>492.71460986623714</v>
      </c>
      <c r="F583" s="243">
        <v>5702015.4695894197</v>
      </c>
      <c r="G583" s="243" t="s">
        <v>87</v>
      </c>
      <c r="H583" s="151">
        <f t="shared" si="19"/>
        <v>-5.5672796703849503E-3</v>
      </c>
      <c r="J583" s="147">
        <v>190.1</v>
      </c>
      <c r="K583" s="147">
        <v>196.16</v>
      </c>
      <c r="L583" s="147">
        <v>189.98</v>
      </c>
      <c r="M583" s="147">
        <v>191.49</v>
      </c>
      <c r="N583" s="147">
        <v>409808</v>
      </c>
      <c r="O583" s="147" t="s">
        <v>87</v>
      </c>
      <c r="P583" s="151">
        <f t="shared" si="20"/>
        <v>-7.2588646926733391E-3</v>
      </c>
    </row>
    <row r="584" spans="2:16" ht="14.25" customHeight="1">
      <c r="B584" s="243">
        <v>492.45713665034884</v>
      </c>
      <c r="C584" s="243">
        <v>499.79512330316527</v>
      </c>
      <c r="D584" s="243">
        <v>491.71937685866897</v>
      </c>
      <c r="E584" s="243">
        <v>499.52774727128127</v>
      </c>
      <c r="F584" s="243">
        <v>6217829.3554796651</v>
      </c>
      <c r="G584" s="243" t="s">
        <v>86</v>
      </c>
      <c r="H584" s="151">
        <f t="shared" si="19"/>
        <v>-1.4154590329679029E-2</v>
      </c>
      <c r="J584" s="147">
        <v>193.22</v>
      </c>
      <c r="K584" s="147">
        <v>194.3</v>
      </c>
      <c r="L584" s="147">
        <v>187.66</v>
      </c>
      <c r="M584" s="147">
        <v>187.66</v>
      </c>
      <c r="N584" s="147">
        <v>344929</v>
      </c>
      <c r="O584" s="147" t="s">
        <v>86</v>
      </c>
      <c r="P584" s="151">
        <f t="shared" si="20"/>
        <v>2.9628050730043709E-2</v>
      </c>
    </row>
    <row r="585" spans="2:16" ht="14.25" customHeight="1">
      <c r="B585" s="243">
        <v>503.99391728534363</v>
      </c>
      <c r="C585" s="243">
        <v>506.67758042017931</v>
      </c>
      <c r="D585" s="243">
        <v>503.548290565537</v>
      </c>
      <c r="E585" s="243">
        <v>504.70692003703437</v>
      </c>
      <c r="F585" s="243">
        <v>3146625.1633392838</v>
      </c>
      <c r="G585" s="243" t="s">
        <v>85</v>
      </c>
      <c r="H585" s="151">
        <f t="shared" si="19"/>
        <v>-1.4127065102226277E-3</v>
      </c>
      <c r="J585" s="147">
        <v>188.3</v>
      </c>
      <c r="K585" s="147">
        <v>192.2</v>
      </c>
      <c r="L585" s="147">
        <v>188.24</v>
      </c>
      <c r="M585" s="147">
        <v>192.2</v>
      </c>
      <c r="N585" s="147">
        <v>383099</v>
      </c>
      <c r="O585" s="147" t="s">
        <v>85</v>
      </c>
      <c r="P585" s="151">
        <f t="shared" si="20"/>
        <v>-2.0291363163371323E-2</v>
      </c>
    </row>
    <row r="586" spans="2:16" ht="14.25" customHeight="1">
      <c r="B586" s="243">
        <v>504.83565664497849</v>
      </c>
      <c r="C586" s="243">
        <v>505.36050589275072</v>
      </c>
      <c r="D586" s="243">
        <v>501.51821328641773</v>
      </c>
      <c r="E586" s="243">
        <v>503.33042861363151</v>
      </c>
      <c r="F586" s="243">
        <v>4385549.5264015486</v>
      </c>
      <c r="G586" s="243" t="s">
        <v>84</v>
      </c>
      <c r="H586" s="151">
        <f t="shared" ref="H586:H649" si="21">B586/E586-1</f>
        <v>2.9905365258622307E-3</v>
      </c>
      <c r="J586" s="147">
        <v>192.25</v>
      </c>
      <c r="K586" s="147">
        <v>192.48</v>
      </c>
      <c r="L586" s="147">
        <v>184.95</v>
      </c>
      <c r="M586" s="147">
        <v>190.95</v>
      </c>
      <c r="N586" s="147">
        <v>207586</v>
      </c>
      <c r="O586" s="147" t="s">
        <v>84</v>
      </c>
      <c r="P586" s="151">
        <f t="shared" ref="P586:P649" si="22">J586/M586-1</f>
        <v>6.8080649384656411E-3</v>
      </c>
    </row>
    <row r="587" spans="2:16" ht="14.25" customHeight="1">
      <c r="B587" s="243">
        <v>499.64658106322975</v>
      </c>
      <c r="C587" s="243">
        <v>504.25139050123192</v>
      </c>
      <c r="D587" s="243">
        <v>498.66620227965507</v>
      </c>
      <c r="E587" s="243">
        <v>502.70655120590214</v>
      </c>
      <c r="F587" s="243">
        <v>4079079.1243142341</v>
      </c>
      <c r="G587" s="243" t="s">
        <v>83</v>
      </c>
      <c r="H587" s="151">
        <f t="shared" si="21"/>
        <v>-6.0869907808682733E-3</v>
      </c>
      <c r="J587" s="147">
        <v>189.87</v>
      </c>
      <c r="K587" s="147">
        <v>192.13</v>
      </c>
      <c r="L587" s="147">
        <v>187.285</v>
      </c>
      <c r="M587" s="147">
        <v>192.13</v>
      </c>
      <c r="N587" s="147">
        <v>182531</v>
      </c>
      <c r="O587" s="147" t="s">
        <v>83</v>
      </c>
      <c r="P587" s="151">
        <f t="shared" si="22"/>
        <v>-1.1762868890855094E-2</v>
      </c>
    </row>
    <row r="588" spans="2:16" ht="14.25" customHeight="1">
      <c r="B588" s="243">
        <v>503.0036356857733</v>
      </c>
      <c r="C588" s="243">
        <v>509.19289568308812</v>
      </c>
      <c r="D588" s="243">
        <v>500.95474305626215</v>
      </c>
      <c r="E588" s="243">
        <v>508.26203097949195</v>
      </c>
      <c r="F588" s="243">
        <v>5105466.9724182151</v>
      </c>
      <c r="G588" s="243" t="s">
        <v>82</v>
      </c>
      <c r="H588" s="151">
        <f t="shared" si="21"/>
        <v>-1.0345835362883582E-2</v>
      </c>
      <c r="J588" s="147">
        <v>190.81</v>
      </c>
      <c r="K588" s="147">
        <v>204.29</v>
      </c>
      <c r="L588" s="147">
        <v>188.65</v>
      </c>
      <c r="M588" s="147">
        <v>202.34</v>
      </c>
      <c r="N588" s="147">
        <v>382245</v>
      </c>
      <c r="O588" s="147" t="s">
        <v>82</v>
      </c>
      <c r="P588" s="151">
        <f t="shared" si="22"/>
        <v>-5.6983295443313264E-2</v>
      </c>
    </row>
    <row r="589" spans="2:16" ht="14.25" customHeight="1">
      <c r="B589" s="243">
        <v>506.81621984411925</v>
      </c>
      <c r="C589" s="243">
        <v>510.10395475469284</v>
      </c>
      <c r="D589" s="243">
        <v>506.588455076218</v>
      </c>
      <c r="E589" s="243">
        <v>508.5690182753587</v>
      </c>
      <c r="F589" s="243">
        <v>5033220.8557267217</v>
      </c>
      <c r="G589" s="243" t="s">
        <v>81</v>
      </c>
      <c r="H589" s="151">
        <f t="shared" si="21"/>
        <v>-3.4465301035904172E-3</v>
      </c>
      <c r="J589" s="147">
        <v>203.22</v>
      </c>
      <c r="K589" s="147">
        <v>207.25</v>
      </c>
      <c r="L589" s="147">
        <v>193.3</v>
      </c>
      <c r="M589" s="147">
        <v>194.73</v>
      </c>
      <c r="N589" s="147">
        <v>672376</v>
      </c>
      <c r="O589" s="147" t="s">
        <v>81</v>
      </c>
      <c r="P589" s="151">
        <f t="shared" si="22"/>
        <v>4.3598829148051133E-2</v>
      </c>
    </row>
    <row r="590" spans="2:16" ht="14.25" customHeight="1">
      <c r="B590" s="243">
        <v>513.99576144100433</v>
      </c>
      <c r="C590" s="243">
        <v>514.3522628168497</v>
      </c>
      <c r="D590" s="243">
        <v>511.57947433805271</v>
      </c>
      <c r="E590" s="243">
        <v>512.30237990573903</v>
      </c>
      <c r="F590" s="243">
        <v>4205167.5016547516</v>
      </c>
      <c r="G590" s="243" t="s">
        <v>80</v>
      </c>
      <c r="H590" s="151">
        <f t="shared" si="21"/>
        <v>3.3054336690312436E-3</v>
      </c>
      <c r="J590" s="147">
        <v>196.75</v>
      </c>
      <c r="K590" s="147">
        <v>198.37</v>
      </c>
      <c r="L590" s="147">
        <v>190.88</v>
      </c>
      <c r="M590" s="147">
        <v>191.6</v>
      </c>
      <c r="N590" s="147">
        <v>455098</v>
      </c>
      <c r="O590" s="147" t="s">
        <v>80</v>
      </c>
      <c r="P590" s="151">
        <f t="shared" si="22"/>
        <v>2.6878914405010557E-2</v>
      </c>
    </row>
    <row r="591" spans="2:16" ht="14.25" customHeight="1">
      <c r="B591" s="243">
        <v>511.09423635426322</v>
      </c>
      <c r="C591" s="243">
        <v>514.07498396897006</v>
      </c>
      <c r="D591" s="243">
        <v>509.34143792302365</v>
      </c>
      <c r="E591" s="243">
        <v>511.5596687060613</v>
      </c>
      <c r="F591" s="243">
        <v>7847791.9849986648</v>
      </c>
      <c r="G591" s="243" t="s">
        <v>79</v>
      </c>
      <c r="H591" s="151">
        <f t="shared" si="21"/>
        <v>-9.0983003600608736E-4</v>
      </c>
      <c r="J591" s="147">
        <v>191.68</v>
      </c>
      <c r="K591" s="147">
        <v>193.58</v>
      </c>
      <c r="L591" s="147">
        <v>188.35249999999999</v>
      </c>
      <c r="M591" s="147">
        <v>190.83</v>
      </c>
      <c r="N591" s="147">
        <v>449346</v>
      </c>
      <c r="O591" s="147" t="s">
        <v>79</v>
      </c>
      <c r="P591" s="151">
        <f t="shared" si="22"/>
        <v>4.454226274694717E-3</v>
      </c>
    </row>
    <row r="592" spans="2:16" ht="14.25" customHeight="1">
      <c r="B592" s="243">
        <v>509.54939705893338</v>
      </c>
      <c r="C592" s="243">
        <v>512.99557702543825</v>
      </c>
      <c r="D592" s="243">
        <v>507.1925268519559</v>
      </c>
      <c r="E592" s="243">
        <v>507.50941696381847</v>
      </c>
      <c r="F592" s="243">
        <v>5289576.2198071387</v>
      </c>
      <c r="G592" s="243" t="s">
        <v>78</v>
      </c>
      <c r="H592" s="151">
        <f t="shared" si="21"/>
        <v>4.0195906261584202E-3</v>
      </c>
      <c r="J592" s="147">
        <v>190.83</v>
      </c>
      <c r="K592" s="147">
        <v>194.58</v>
      </c>
      <c r="L592" s="147">
        <v>187.44</v>
      </c>
      <c r="M592" s="147">
        <v>187.44</v>
      </c>
      <c r="N592" s="147">
        <v>389981</v>
      </c>
      <c r="O592" s="147" t="s">
        <v>78</v>
      </c>
      <c r="P592" s="151">
        <f t="shared" si="22"/>
        <v>1.8085787451984636E-2</v>
      </c>
    </row>
    <row r="593" spans="2:16" ht="14.25" customHeight="1">
      <c r="B593" s="243">
        <v>506.42010720429101</v>
      </c>
      <c r="C593" s="243">
        <v>511.76762784197103</v>
      </c>
      <c r="D593" s="243">
        <v>505.86059810053376</v>
      </c>
      <c r="E593" s="243">
        <v>510.98530537831044</v>
      </c>
      <c r="F593" s="243">
        <v>5600738.2166913431</v>
      </c>
      <c r="G593" s="243" t="s">
        <v>77</v>
      </c>
      <c r="H593" s="151">
        <f t="shared" si="21"/>
        <v>-8.9341085271318343E-3</v>
      </c>
      <c r="J593" s="147">
        <v>186.29</v>
      </c>
      <c r="K593" s="147">
        <v>186.68</v>
      </c>
      <c r="L593" s="147">
        <v>179.75</v>
      </c>
      <c r="M593" s="147">
        <v>181.02</v>
      </c>
      <c r="N593" s="147">
        <v>341402</v>
      </c>
      <c r="O593" s="147" t="s">
        <v>77</v>
      </c>
      <c r="P593" s="151">
        <f t="shared" si="22"/>
        <v>2.9112805214893234E-2</v>
      </c>
    </row>
    <row r="594" spans="2:16" ht="14.25" customHeight="1">
      <c r="B594" s="243">
        <v>510.79715187439206</v>
      </c>
      <c r="C594" s="243">
        <v>511.16850747423092</v>
      </c>
      <c r="D594" s="243">
        <v>506.71719168416217</v>
      </c>
      <c r="E594" s="243">
        <v>507.00437334803757</v>
      </c>
      <c r="F594" s="243">
        <v>3480750.3254583725</v>
      </c>
      <c r="G594" s="243" t="s">
        <v>76</v>
      </c>
      <c r="H594" s="151">
        <f t="shared" si="21"/>
        <v>7.480760967225164E-3</v>
      </c>
      <c r="J594" s="147">
        <v>179.46</v>
      </c>
      <c r="K594" s="147">
        <v>179.69</v>
      </c>
      <c r="L594" s="147">
        <v>177.27</v>
      </c>
      <c r="M594" s="147">
        <v>178.83</v>
      </c>
      <c r="N594" s="147">
        <v>315721</v>
      </c>
      <c r="O594" s="147" t="s">
        <v>76</v>
      </c>
      <c r="P594" s="151">
        <f t="shared" si="22"/>
        <v>3.5228988424760299E-3</v>
      </c>
    </row>
    <row r="595" spans="2:16" ht="14.25" customHeight="1">
      <c r="B595" s="243">
        <v>505.92496640450588</v>
      </c>
      <c r="C595" s="243">
        <v>507.03408179602468</v>
      </c>
      <c r="D595" s="243">
        <v>505.57836784465627</v>
      </c>
      <c r="E595" s="243">
        <v>506.24185651636839</v>
      </c>
      <c r="F595" s="243">
        <v>3176695.3979199519</v>
      </c>
      <c r="G595" s="243" t="s">
        <v>75</v>
      </c>
      <c r="H595" s="151">
        <f t="shared" si="21"/>
        <v>-6.2596584573848535E-4</v>
      </c>
      <c r="J595" s="147">
        <v>177.99</v>
      </c>
      <c r="K595" s="147">
        <v>180.07499999999999</v>
      </c>
      <c r="L595" s="147">
        <v>174.5</v>
      </c>
      <c r="M595" s="147">
        <v>179.37</v>
      </c>
      <c r="N595" s="147">
        <v>276994</v>
      </c>
      <c r="O595" s="147" t="s">
        <v>75</v>
      </c>
      <c r="P595" s="151">
        <f t="shared" si="22"/>
        <v>-7.6935942465294893E-3</v>
      </c>
    </row>
    <row r="596" spans="2:16" ht="14.25" customHeight="1">
      <c r="B596" s="243">
        <v>505.37040870874642</v>
      </c>
      <c r="C596" s="243">
        <v>506.23690510837054</v>
      </c>
      <c r="D596" s="243">
        <v>504.3702242931804</v>
      </c>
      <c r="E596" s="243">
        <v>505.53875658067341</v>
      </c>
      <c r="F596" s="243">
        <v>3174227.4130547778</v>
      </c>
      <c r="G596" s="243" t="s">
        <v>74</v>
      </c>
      <c r="H596" s="151">
        <f t="shared" si="21"/>
        <v>-3.330068560235544E-4</v>
      </c>
      <c r="J596" s="147">
        <v>179.27</v>
      </c>
      <c r="K596" s="147">
        <v>183.32</v>
      </c>
      <c r="L596" s="147">
        <v>179.19</v>
      </c>
      <c r="M596" s="147">
        <v>181.14</v>
      </c>
      <c r="N596" s="147">
        <v>323643</v>
      </c>
      <c r="O596" s="147" t="s">
        <v>74</v>
      </c>
      <c r="P596" s="151">
        <f t="shared" si="22"/>
        <v>-1.0323506679915995E-2</v>
      </c>
    </row>
    <row r="597" spans="2:16" ht="14.25" customHeight="1">
      <c r="B597" s="243">
        <v>504.88517072495694</v>
      </c>
      <c r="C597" s="243">
        <v>505.14264394084529</v>
      </c>
      <c r="D597" s="243">
        <v>501.56772736639624</v>
      </c>
      <c r="E597" s="243">
        <v>502.20150759012125</v>
      </c>
      <c r="F597" s="243">
        <v>3187903.3210044717</v>
      </c>
      <c r="G597" s="243" t="s">
        <v>73</v>
      </c>
      <c r="H597" s="151">
        <f t="shared" si="21"/>
        <v>5.3437974483860895E-3</v>
      </c>
      <c r="J597" s="147">
        <v>181.09</v>
      </c>
      <c r="K597" s="147">
        <v>181.31</v>
      </c>
      <c r="L597" s="147">
        <v>176.79</v>
      </c>
      <c r="M597" s="147">
        <v>178.19</v>
      </c>
      <c r="N597" s="147">
        <v>183884</v>
      </c>
      <c r="O597" s="147" t="s">
        <v>73</v>
      </c>
      <c r="P597" s="151">
        <f t="shared" si="22"/>
        <v>1.6274762893540684E-2</v>
      </c>
    </row>
    <row r="598" spans="2:16" ht="14.25" customHeight="1">
      <c r="B598" s="243">
        <v>501.88461747825875</v>
      </c>
      <c r="C598" s="243">
        <v>502.21141040611695</v>
      </c>
      <c r="D598" s="243">
        <v>499.31978813537154</v>
      </c>
      <c r="E598" s="243">
        <v>499.31978813537154</v>
      </c>
      <c r="F598" s="243">
        <v>2151999.9977022349</v>
      </c>
      <c r="G598" s="243" t="s">
        <v>72</v>
      </c>
      <c r="H598" s="151">
        <f t="shared" si="21"/>
        <v>5.1366467018363338E-3</v>
      </c>
      <c r="J598" s="147">
        <v>177.42</v>
      </c>
      <c r="K598" s="147">
        <v>178.21</v>
      </c>
      <c r="L598" s="147">
        <v>175.1</v>
      </c>
      <c r="M598" s="147">
        <v>176.32</v>
      </c>
      <c r="N598" s="147">
        <v>130530</v>
      </c>
      <c r="O598" s="147" t="s">
        <v>72</v>
      </c>
      <c r="P598" s="151">
        <f t="shared" si="22"/>
        <v>6.2386569872958653E-3</v>
      </c>
    </row>
    <row r="599" spans="2:16" ht="14.25" customHeight="1">
      <c r="B599" s="243">
        <v>499.62677543123829</v>
      </c>
      <c r="C599" s="243">
        <v>499.70599795920396</v>
      </c>
      <c r="D599" s="243">
        <v>494.75458996135211</v>
      </c>
      <c r="E599" s="243">
        <v>494.83381248931772</v>
      </c>
      <c r="F599" s="243">
        <v>4251399.8056982309</v>
      </c>
      <c r="G599" s="243" t="s">
        <v>71</v>
      </c>
      <c r="H599" s="151">
        <f t="shared" si="21"/>
        <v>9.6860053233003285E-3</v>
      </c>
      <c r="J599" s="147">
        <v>175.99</v>
      </c>
      <c r="K599" s="147">
        <v>179.51</v>
      </c>
      <c r="L599" s="147">
        <v>174.5</v>
      </c>
      <c r="M599" s="147">
        <v>177.97</v>
      </c>
      <c r="N599" s="147">
        <v>185703</v>
      </c>
      <c r="O599" s="147" t="s">
        <v>71</v>
      </c>
      <c r="P599" s="151">
        <f t="shared" si="22"/>
        <v>-1.1125470584929964E-2</v>
      </c>
    </row>
    <row r="600" spans="2:16" ht="14.25" customHeight="1">
      <c r="B600" s="243">
        <v>496.40836023263461</v>
      </c>
      <c r="C600" s="243">
        <v>496.8043738443028</v>
      </c>
      <c r="D600" s="243">
        <v>493.75440554578603</v>
      </c>
      <c r="E600" s="243">
        <v>496.6163193685444</v>
      </c>
      <c r="F600" s="243">
        <v>4411397.7295905249</v>
      </c>
      <c r="G600" s="243" t="s">
        <v>70</v>
      </c>
      <c r="H600" s="151">
        <f t="shared" si="21"/>
        <v>-4.1875211868636075E-4</v>
      </c>
      <c r="J600" s="147">
        <v>177.09</v>
      </c>
      <c r="K600" s="147">
        <v>181.25</v>
      </c>
      <c r="L600" s="147">
        <v>174.69</v>
      </c>
      <c r="M600" s="147">
        <v>179.99</v>
      </c>
      <c r="N600" s="147">
        <v>349594</v>
      </c>
      <c r="O600" s="147" t="s">
        <v>70</v>
      </c>
      <c r="P600" s="151">
        <f t="shared" si="22"/>
        <v>-1.6112006222567921E-2</v>
      </c>
    </row>
    <row r="601" spans="2:16" ht="14.25" customHeight="1">
      <c r="B601" s="243">
        <v>495.2695363931287</v>
      </c>
      <c r="C601" s="243">
        <v>500.81511335072275</v>
      </c>
      <c r="D601" s="243">
        <v>494.16042100160985</v>
      </c>
      <c r="E601" s="243">
        <v>498.08193613590856</v>
      </c>
      <c r="F601" s="243">
        <v>5653514.1139943674</v>
      </c>
      <c r="G601" s="243" t="s">
        <v>69</v>
      </c>
      <c r="H601" s="151">
        <f t="shared" si="21"/>
        <v>-5.6464600274370724E-3</v>
      </c>
      <c r="J601" s="147">
        <v>179.97</v>
      </c>
      <c r="K601" s="147">
        <v>181.28989999999999</v>
      </c>
      <c r="L601" s="147">
        <v>173.815</v>
      </c>
      <c r="M601" s="147">
        <v>176.16</v>
      </c>
      <c r="N601" s="147">
        <v>750545</v>
      </c>
      <c r="O601" s="147" t="s">
        <v>69</v>
      </c>
      <c r="P601" s="151">
        <f t="shared" si="22"/>
        <v>2.1628065395095319E-2</v>
      </c>
    </row>
    <row r="602" spans="2:16" ht="14.25" customHeight="1">
      <c r="B602" s="243">
        <v>497.18721671069676</v>
      </c>
      <c r="C602" s="243">
        <v>497.80888575213316</v>
      </c>
      <c r="D602" s="243">
        <v>495.67744903863684</v>
      </c>
      <c r="E602" s="243">
        <v>496.34845689288568</v>
      </c>
      <c r="F602" s="243">
        <v>3668161.832107625</v>
      </c>
      <c r="G602" s="243" t="s">
        <v>68</v>
      </c>
      <c r="H602" s="151">
        <f t="shared" si="21"/>
        <v>1.6898608349902311E-3</v>
      </c>
      <c r="J602" s="147">
        <v>174.9</v>
      </c>
      <c r="K602" s="147">
        <v>175.08</v>
      </c>
      <c r="L602" s="147">
        <v>171.77</v>
      </c>
      <c r="M602" s="147">
        <v>174.25</v>
      </c>
      <c r="N602" s="147">
        <v>339167</v>
      </c>
      <c r="O602" s="147" t="s">
        <v>68</v>
      </c>
      <c r="P602" s="151">
        <f t="shared" si="22"/>
        <v>3.7302725968435535E-3</v>
      </c>
    </row>
    <row r="603" spans="2:16" ht="14.25" customHeight="1">
      <c r="B603" s="243">
        <v>496.41753123082304</v>
      </c>
      <c r="C603" s="243">
        <v>497.10827461019687</v>
      </c>
      <c r="D603" s="243">
        <v>494.26635899220179</v>
      </c>
      <c r="E603" s="243">
        <v>494.83868922082587</v>
      </c>
      <c r="F603" s="243">
        <v>3245619.2371071526</v>
      </c>
      <c r="G603" s="243" t="s">
        <v>67</v>
      </c>
      <c r="H603" s="151">
        <f t="shared" si="21"/>
        <v>3.1906195784392466E-3</v>
      </c>
      <c r="J603" s="147">
        <v>174.82</v>
      </c>
      <c r="K603" s="147">
        <v>175.25</v>
      </c>
      <c r="L603" s="147">
        <v>171.11</v>
      </c>
      <c r="M603" s="147">
        <v>171.77</v>
      </c>
      <c r="N603" s="147">
        <v>194761</v>
      </c>
      <c r="O603" s="147" t="s">
        <v>67</v>
      </c>
      <c r="P603" s="151">
        <f t="shared" si="22"/>
        <v>1.7756302031786575E-2</v>
      </c>
    </row>
    <row r="604" spans="2:16" ht="14.25" customHeight="1">
      <c r="B604" s="243">
        <v>495.86493652732401</v>
      </c>
      <c r="C604" s="243">
        <v>496.18070492932344</v>
      </c>
      <c r="D604" s="243">
        <v>493.70389652614028</v>
      </c>
      <c r="E604" s="243">
        <v>495.07551552232536</v>
      </c>
      <c r="F604" s="243">
        <v>6421642.1502602752</v>
      </c>
      <c r="G604" s="243" t="s">
        <v>66</v>
      </c>
      <c r="H604" s="151">
        <f t="shared" si="21"/>
        <v>1.5945466504554417E-3</v>
      </c>
      <c r="J604" s="147">
        <v>172.27</v>
      </c>
      <c r="K604" s="147">
        <v>175.55500000000001</v>
      </c>
      <c r="L604" s="147">
        <v>172.15</v>
      </c>
      <c r="M604" s="147">
        <v>174.62</v>
      </c>
      <c r="N604" s="147">
        <v>320248</v>
      </c>
      <c r="O604" s="147" t="s">
        <v>66</v>
      </c>
      <c r="P604" s="151">
        <f t="shared" si="22"/>
        <v>-1.3457794067117113E-2</v>
      </c>
    </row>
    <row r="605" spans="2:16" ht="14.25" customHeight="1">
      <c r="B605" s="243">
        <v>493.81244191432762</v>
      </c>
      <c r="C605" s="243">
        <v>497.76892131375513</v>
      </c>
      <c r="D605" s="243">
        <v>493.81244191432762</v>
      </c>
      <c r="E605" s="243">
        <v>495.39128392432485</v>
      </c>
      <c r="F605" s="243">
        <v>7116956.8131896658</v>
      </c>
      <c r="G605" s="243" t="s">
        <v>65</v>
      </c>
      <c r="H605" s="151">
        <f t="shared" si="21"/>
        <v>-3.1870605342310121E-3</v>
      </c>
      <c r="J605" s="147">
        <v>174.4</v>
      </c>
      <c r="K605" s="147">
        <v>178.68</v>
      </c>
      <c r="L605" s="147">
        <v>174.04</v>
      </c>
      <c r="M605" s="147">
        <v>178</v>
      </c>
      <c r="N605" s="147">
        <v>358709</v>
      </c>
      <c r="O605" s="147" t="s">
        <v>65</v>
      </c>
      <c r="P605" s="151">
        <f t="shared" si="22"/>
        <v>-2.0224719101123556E-2</v>
      </c>
    </row>
    <row r="606" spans="2:16" ht="14.25" customHeight="1">
      <c r="B606" s="243">
        <v>495.14458986026278</v>
      </c>
      <c r="C606" s="243">
        <v>496.56130453135847</v>
      </c>
      <c r="D606" s="243">
        <v>494.22688794195193</v>
      </c>
      <c r="E606" s="243">
        <v>495.46035826226228</v>
      </c>
      <c r="F606" s="243">
        <v>4406103.1793878563</v>
      </c>
      <c r="G606" s="243" t="s">
        <v>64</v>
      </c>
      <c r="H606" s="151">
        <f t="shared" si="21"/>
        <v>-6.3732324238208182E-4</v>
      </c>
      <c r="J606" s="147">
        <v>178.56</v>
      </c>
      <c r="K606" s="147">
        <v>180.48</v>
      </c>
      <c r="L606" s="147">
        <v>175.96</v>
      </c>
      <c r="M606" s="147">
        <v>176.75</v>
      </c>
      <c r="N606" s="147">
        <v>516399</v>
      </c>
      <c r="O606" s="147" t="s">
        <v>64</v>
      </c>
      <c r="P606" s="151">
        <f t="shared" si="22"/>
        <v>1.0240452616690154E-2</v>
      </c>
    </row>
    <row r="607" spans="2:16" ht="14.25" customHeight="1">
      <c r="B607" s="243">
        <v>496.23004374213588</v>
      </c>
      <c r="C607" s="243">
        <v>499.05222383500598</v>
      </c>
      <c r="D607" s="243">
        <v>494.56239186907629</v>
      </c>
      <c r="E607" s="243">
        <v>498.46015808125702</v>
      </c>
      <c r="F607" s="243">
        <v>4875337.2099678321</v>
      </c>
      <c r="G607" s="243" t="s">
        <v>63</v>
      </c>
      <c r="H607" s="151">
        <f t="shared" si="21"/>
        <v>-4.4740072059231695E-3</v>
      </c>
      <c r="J607" s="147">
        <v>175.45</v>
      </c>
      <c r="K607" s="147">
        <v>176.67</v>
      </c>
      <c r="L607" s="147">
        <v>170.59</v>
      </c>
      <c r="M607" s="147">
        <v>176.02</v>
      </c>
      <c r="N607" s="147">
        <v>561509</v>
      </c>
      <c r="O607" s="147" t="s">
        <v>63</v>
      </c>
      <c r="P607" s="151">
        <f t="shared" si="22"/>
        <v>-3.238268378593423E-3</v>
      </c>
    </row>
    <row r="608" spans="2:16" ht="14.25" customHeight="1">
      <c r="B608" s="243">
        <v>497.61153050088348</v>
      </c>
      <c r="C608" s="243">
        <v>497.68573607535336</v>
      </c>
      <c r="D608" s="243">
        <v>495.98334967807381</v>
      </c>
      <c r="E608" s="243">
        <v>496.39779570569812</v>
      </c>
      <c r="F608" s="243">
        <v>3477652.5866635391</v>
      </c>
      <c r="G608" s="243" t="s">
        <v>62</v>
      </c>
      <c r="H608" s="151">
        <f t="shared" si="21"/>
        <v>2.4450849816122222E-3</v>
      </c>
      <c r="J608" s="147">
        <v>176.03</v>
      </c>
      <c r="K608" s="147">
        <v>186.74</v>
      </c>
      <c r="L608" s="147">
        <v>175.03</v>
      </c>
      <c r="M608" s="147">
        <v>185.93</v>
      </c>
      <c r="N608" s="147">
        <v>469421</v>
      </c>
      <c r="O608" s="147" t="s">
        <v>62</v>
      </c>
      <c r="P608" s="151">
        <f t="shared" si="22"/>
        <v>-5.3245845210563192E-2</v>
      </c>
    </row>
    <row r="609" spans="2:16" ht="14.25" customHeight="1">
      <c r="B609" s="243">
        <v>496.28925031751078</v>
      </c>
      <c r="C609" s="243">
        <v>497.51285287525866</v>
      </c>
      <c r="D609" s="243">
        <v>491.32576574858194</v>
      </c>
      <c r="E609" s="243">
        <v>491.88822821464345</v>
      </c>
      <c r="F609" s="243">
        <v>4671311.2225920837</v>
      </c>
      <c r="G609" s="243" t="s">
        <v>61</v>
      </c>
      <c r="H609" s="151">
        <f t="shared" si="21"/>
        <v>8.9471994864387394E-3</v>
      </c>
      <c r="J609" s="147">
        <v>187.32</v>
      </c>
      <c r="K609" s="147">
        <v>187.96</v>
      </c>
      <c r="L609" s="147">
        <v>182.67</v>
      </c>
      <c r="M609" s="147">
        <v>184.72</v>
      </c>
      <c r="N609" s="147">
        <v>265474</v>
      </c>
      <c r="O609" s="147" t="s">
        <v>61</v>
      </c>
      <c r="P609" s="151">
        <f t="shared" si="22"/>
        <v>1.4075357297531399E-2</v>
      </c>
    </row>
    <row r="610" spans="2:16" ht="14.25" customHeight="1">
      <c r="B610" s="243">
        <v>492.38161634276764</v>
      </c>
      <c r="C610" s="243">
        <v>492.44082291814249</v>
      </c>
      <c r="D610" s="243">
        <v>489.72718821345973</v>
      </c>
      <c r="E610" s="243">
        <v>490.68436118202055</v>
      </c>
      <c r="F610" s="243">
        <v>5889932.9642338268</v>
      </c>
      <c r="G610" s="243" t="s">
        <v>60</v>
      </c>
      <c r="H610" s="151">
        <f t="shared" si="21"/>
        <v>3.4589550738044483E-3</v>
      </c>
      <c r="J610" s="147">
        <v>187.78</v>
      </c>
      <c r="K610" s="147">
        <v>188.47</v>
      </c>
      <c r="L610" s="147">
        <v>185.095</v>
      </c>
      <c r="M610" s="147">
        <v>187.47</v>
      </c>
      <c r="N610" s="147">
        <v>203456</v>
      </c>
      <c r="O610" s="147" t="s">
        <v>60</v>
      </c>
      <c r="P610" s="151">
        <f t="shared" si="22"/>
        <v>1.6535979089988828E-3</v>
      </c>
    </row>
    <row r="611" spans="2:16" ht="14.25" customHeight="1">
      <c r="B611" s="243">
        <v>491.98690584026826</v>
      </c>
      <c r="C611" s="243">
        <v>492.84540118320427</v>
      </c>
      <c r="D611" s="243">
        <v>489.50022967452264</v>
      </c>
      <c r="E611" s="243">
        <v>492.69738474476708</v>
      </c>
      <c r="F611" s="243">
        <v>8926926.3870325722</v>
      </c>
      <c r="G611" s="243" t="s">
        <v>59</v>
      </c>
      <c r="H611" s="151">
        <f t="shared" si="21"/>
        <v>-1.4420188263569722E-3</v>
      </c>
      <c r="J611" s="147">
        <v>188</v>
      </c>
      <c r="K611" s="147">
        <v>192.02500000000001</v>
      </c>
      <c r="L611" s="147">
        <v>186.61</v>
      </c>
      <c r="M611" s="147">
        <v>191.39</v>
      </c>
      <c r="N611" s="147">
        <v>268585</v>
      </c>
      <c r="O611" s="147" t="s">
        <v>59</v>
      </c>
      <c r="P611" s="151">
        <f t="shared" si="22"/>
        <v>-1.7712524165316768E-2</v>
      </c>
    </row>
    <row r="612" spans="2:16" ht="14.25" customHeight="1">
      <c r="B612" s="243">
        <v>491.05933615939489</v>
      </c>
      <c r="C612" s="243">
        <v>493.53614456257804</v>
      </c>
      <c r="D612" s="243">
        <v>490.14163424108398</v>
      </c>
      <c r="E612" s="243">
        <v>491.34550127370693</v>
      </c>
      <c r="F612" s="243">
        <v>3748354.2764423308</v>
      </c>
      <c r="G612" s="243" t="s">
        <v>58</v>
      </c>
      <c r="H612" s="151">
        <f t="shared" si="21"/>
        <v>-5.8241118229473976E-4</v>
      </c>
      <c r="J612" s="147">
        <v>191.77</v>
      </c>
      <c r="K612" s="147">
        <v>198.48</v>
      </c>
      <c r="L612" s="147">
        <v>189.15</v>
      </c>
      <c r="M612" s="147">
        <v>193.54</v>
      </c>
      <c r="N612" s="147">
        <v>367221</v>
      </c>
      <c r="O612" s="147" t="s">
        <v>58</v>
      </c>
      <c r="P612" s="151">
        <f t="shared" si="22"/>
        <v>-9.1453963005062588E-3</v>
      </c>
    </row>
    <row r="613" spans="2:16" ht="14.25" customHeight="1">
      <c r="B613" s="243">
        <v>487.00368574621444</v>
      </c>
      <c r="C613" s="243">
        <v>487.13196665952677</v>
      </c>
      <c r="D613" s="243">
        <v>482.64114791734079</v>
      </c>
      <c r="E613" s="243">
        <v>484.49727405534384</v>
      </c>
      <c r="F613" s="243">
        <v>4082407.7134932731</v>
      </c>
      <c r="G613" s="243" t="s">
        <v>57</v>
      </c>
      <c r="H613" s="151">
        <f t="shared" si="21"/>
        <v>5.1732214505386676E-3</v>
      </c>
      <c r="J613" s="147">
        <v>189.94</v>
      </c>
      <c r="K613" s="147">
        <v>191.05</v>
      </c>
      <c r="L613" s="147">
        <v>185.02</v>
      </c>
      <c r="M613" s="147">
        <v>187.72</v>
      </c>
      <c r="N613" s="147">
        <v>295989</v>
      </c>
      <c r="O613" s="147" t="s">
        <v>57</v>
      </c>
      <c r="P613" s="151">
        <f t="shared" si="22"/>
        <v>1.1826124014489681E-2</v>
      </c>
    </row>
    <row r="614" spans="2:16" ht="14.25" customHeight="1">
      <c r="B614" s="243">
        <v>485.89849633921642</v>
      </c>
      <c r="C614" s="243">
        <v>486.17479369096588</v>
      </c>
      <c r="D614" s="243">
        <v>483.08618400890879</v>
      </c>
      <c r="E614" s="243">
        <v>483.68811752522026</v>
      </c>
      <c r="F614" s="243">
        <v>3511659.2824950577</v>
      </c>
      <c r="G614" s="243" t="s">
        <v>56</v>
      </c>
      <c r="H614" s="151">
        <f t="shared" si="21"/>
        <v>4.5698431156537822E-3</v>
      </c>
      <c r="J614" s="147">
        <v>188.06</v>
      </c>
      <c r="K614" s="147">
        <v>192.315</v>
      </c>
      <c r="L614" s="147">
        <v>184.1</v>
      </c>
      <c r="M614" s="147">
        <v>187.33</v>
      </c>
      <c r="N614" s="147">
        <v>515041</v>
      </c>
      <c r="O614" s="147" t="s">
        <v>56</v>
      </c>
      <c r="P614" s="151">
        <f t="shared" si="22"/>
        <v>3.8968664922862661E-3</v>
      </c>
    </row>
    <row r="615" spans="2:16" ht="14.25" customHeight="1">
      <c r="B615" s="243">
        <v>484.30978656665667</v>
      </c>
      <c r="C615" s="243">
        <v>487.00368574621444</v>
      </c>
      <c r="D615" s="243">
        <v>483.06644848378386</v>
      </c>
      <c r="E615" s="243">
        <v>484.0630925025946</v>
      </c>
      <c r="F615" s="243">
        <v>3104641.9901181473</v>
      </c>
      <c r="G615" s="243" t="s">
        <v>55</v>
      </c>
      <c r="H615" s="151">
        <f t="shared" si="21"/>
        <v>5.0963204566301101E-4</v>
      </c>
      <c r="J615" s="147">
        <v>188.95</v>
      </c>
      <c r="K615" s="147">
        <v>194.97</v>
      </c>
      <c r="L615" s="147">
        <v>187.06</v>
      </c>
      <c r="M615" s="147">
        <v>194.97</v>
      </c>
      <c r="N615" s="147">
        <v>584448</v>
      </c>
      <c r="O615" s="147" t="s">
        <v>55</v>
      </c>
      <c r="P615" s="151">
        <f t="shared" si="22"/>
        <v>-3.0876545109504105E-2</v>
      </c>
    </row>
    <row r="616" spans="2:16" ht="14.25" customHeight="1">
      <c r="B616" s="243">
        <v>484.94132337065554</v>
      </c>
      <c r="C616" s="243">
        <v>485.67153780027928</v>
      </c>
      <c r="D616" s="243">
        <v>483.16522478703428</v>
      </c>
      <c r="E616" s="243">
        <v>485.33603387315486</v>
      </c>
      <c r="F616" s="243">
        <v>21629993.491280023</v>
      </c>
      <c r="G616" s="243" t="s">
        <v>54</v>
      </c>
      <c r="H616" s="151">
        <f t="shared" si="21"/>
        <v>-8.1327260897856579E-4</v>
      </c>
      <c r="J616" s="147">
        <v>196.41</v>
      </c>
      <c r="K616" s="147">
        <v>198.61</v>
      </c>
      <c r="L616" s="147">
        <v>191.59</v>
      </c>
      <c r="M616" s="147">
        <v>192.47</v>
      </c>
      <c r="N616" s="147">
        <v>547231</v>
      </c>
      <c r="O616" s="147" t="s">
        <v>54</v>
      </c>
      <c r="P616" s="151">
        <f t="shared" si="22"/>
        <v>2.0470722710032696E-2</v>
      </c>
    </row>
    <row r="617" spans="2:16" ht="14.25" customHeight="1">
      <c r="B617" s="243">
        <v>485.04986875884288</v>
      </c>
      <c r="C617" s="243">
        <v>485.04986875884288</v>
      </c>
      <c r="D617" s="243">
        <v>479.63246711203982</v>
      </c>
      <c r="E617" s="243">
        <v>481.4185321358492</v>
      </c>
      <c r="F617" s="243">
        <v>3066699.244979193</v>
      </c>
      <c r="G617" s="243" t="s">
        <v>53</v>
      </c>
      <c r="H617" s="151">
        <f t="shared" si="21"/>
        <v>7.5429930104331522E-3</v>
      </c>
      <c r="J617" s="147">
        <v>193.29</v>
      </c>
      <c r="K617" s="147">
        <v>195.39619999999999</v>
      </c>
      <c r="L617" s="147">
        <v>191.46</v>
      </c>
      <c r="M617" s="147">
        <v>191.46</v>
      </c>
      <c r="N617" s="147">
        <v>279781</v>
      </c>
      <c r="O617" s="147" t="s">
        <v>53</v>
      </c>
      <c r="P617" s="151">
        <f t="shared" si="22"/>
        <v>9.5581322469444618E-3</v>
      </c>
    </row>
    <row r="618" spans="2:16" ht="14.25" customHeight="1">
      <c r="B618" s="243">
        <v>479.31669871004038</v>
      </c>
      <c r="C618" s="243">
        <v>479.9778388017267</v>
      </c>
      <c r="D618" s="243">
        <v>476.17875021517079</v>
      </c>
      <c r="E618" s="243">
        <v>477.59970802416836</v>
      </c>
      <c r="F618" s="243">
        <v>2594579.0484806858</v>
      </c>
      <c r="G618" s="243" t="s">
        <v>52</v>
      </c>
      <c r="H618" s="151">
        <f t="shared" si="21"/>
        <v>3.5950413223140298E-3</v>
      </c>
      <c r="J618" s="147">
        <v>190.86</v>
      </c>
      <c r="K618" s="147">
        <v>193.38</v>
      </c>
      <c r="L618" s="147">
        <v>188</v>
      </c>
      <c r="M618" s="147">
        <v>188</v>
      </c>
      <c r="N618" s="147">
        <v>305841</v>
      </c>
      <c r="O618" s="147" t="s">
        <v>52</v>
      </c>
      <c r="P618" s="151">
        <f t="shared" si="22"/>
        <v>1.5212765957446805E-2</v>
      </c>
    </row>
    <row r="619" spans="2:16" ht="14.25" customHeight="1">
      <c r="B619" s="243">
        <v>478.73450071885384</v>
      </c>
      <c r="C619" s="243">
        <v>479.9778388017267</v>
      </c>
      <c r="D619" s="243">
        <v>474.04731350167452</v>
      </c>
      <c r="E619" s="243">
        <v>479.86929341353942</v>
      </c>
      <c r="F619" s="243">
        <v>4267690.8502147933</v>
      </c>
      <c r="G619" s="243" t="s">
        <v>51</v>
      </c>
      <c r="H619" s="151">
        <f t="shared" si="21"/>
        <v>-2.3647953937899757E-3</v>
      </c>
      <c r="J619" s="147">
        <v>188.04</v>
      </c>
      <c r="K619" s="147">
        <v>192.47</v>
      </c>
      <c r="L619" s="147">
        <v>186.83</v>
      </c>
      <c r="M619" s="147">
        <v>190.38</v>
      </c>
      <c r="N619" s="147">
        <v>285215</v>
      </c>
      <c r="O619" s="147" t="s">
        <v>51</v>
      </c>
      <c r="P619" s="151">
        <f t="shared" si="22"/>
        <v>-1.2291207059565101E-2</v>
      </c>
    </row>
    <row r="620" spans="2:16" ht="14.25" customHeight="1">
      <c r="B620" s="243">
        <v>478.21150930304231</v>
      </c>
      <c r="C620" s="243">
        <v>478.49767441735429</v>
      </c>
      <c r="D620" s="243">
        <v>470.17421669590004</v>
      </c>
      <c r="E620" s="243">
        <v>474.87620555692308</v>
      </c>
      <c r="F620" s="243">
        <v>5405451.3028918337</v>
      </c>
      <c r="G620" s="243" t="s">
        <v>50</v>
      </c>
      <c r="H620" s="151">
        <f t="shared" si="21"/>
        <v>7.0235225667028001E-3</v>
      </c>
      <c r="J620" s="147">
        <v>189.47</v>
      </c>
      <c r="K620" s="147">
        <v>191.17</v>
      </c>
      <c r="L620" s="147">
        <v>187</v>
      </c>
      <c r="M620" s="147">
        <v>188.55</v>
      </c>
      <c r="N620" s="147">
        <v>435845</v>
      </c>
      <c r="O620" s="147" t="s">
        <v>50</v>
      </c>
      <c r="P620" s="151">
        <f t="shared" si="22"/>
        <v>4.8793423495092636E-3</v>
      </c>
    </row>
    <row r="621" spans="2:16" ht="14.25" customHeight="1">
      <c r="B621" s="243">
        <v>474.08678455192444</v>
      </c>
      <c r="C621" s="243">
        <v>476.36663241436048</v>
      </c>
      <c r="D621" s="243">
        <v>472.86318199417656</v>
      </c>
      <c r="E621" s="243">
        <v>475.74456866242156</v>
      </c>
      <c r="F621" s="243">
        <v>3439066.3319184515</v>
      </c>
      <c r="G621" s="243" t="s">
        <v>49</v>
      </c>
      <c r="H621" s="151">
        <f t="shared" si="21"/>
        <v>-3.4846096407533667E-3</v>
      </c>
      <c r="J621" s="147">
        <v>188.01</v>
      </c>
      <c r="K621" s="147">
        <v>192.07</v>
      </c>
      <c r="L621" s="147">
        <v>185.12</v>
      </c>
      <c r="M621" s="147">
        <v>190.18</v>
      </c>
      <c r="N621" s="147">
        <v>512191</v>
      </c>
      <c r="O621" s="147" t="s">
        <v>49</v>
      </c>
      <c r="P621" s="151">
        <f t="shared" si="22"/>
        <v>-1.1410242927752723E-2</v>
      </c>
    </row>
    <row r="622" spans="2:16" ht="14.25" customHeight="1">
      <c r="B622" s="243">
        <v>477.29380738473139</v>
      </c>
      <c r="C622" s="243">
        <v>478.27071587841715</v>
      </c>
      <c r="D622" s="243">
        <v>476.57346071767012</v>
      </c>
      <c r="E622" s="243">
        <v>476.80041925660726</v>
      </c>
      <c r="F622" s="243">
        <v>5680072.8275627885</v>
      </c>
      <c r="G622" s="243" t="s">
        <v>48</v>
      </c>
      <c r="H622" s="151">
        <f t="shared" si="21"/>
        <v>1.0347896272686619E-3</v>
      </c>
      <c r="J622" s="147">
        <v>191.34</v>
      </c>
      <c r="K622" s="147">
        <v>193.18</v>
      </c>
      <c r="L622" s="147">
        <v>189.52500000000001</v>
      </c>
      <c r="M622" s="147">
        <v>190.51</v>
      </c>
      <c r="N622" s="147">
        <v>211101</v>
      </c>
      <c r="O622" s="147" t="s">
        <v>48</v>
      </c>
      <c r="P622" s="151">
        <f t="shared" si="22"/>
        <v>4.356726681014278E-3</v>
      </c>
    </row>
    <row r="623" spans="2:16" ht="14.25" customHeight="1">
      <c r="B623" s="243">
        <v>480.678449943663</v>
      </c>
      <c r="C623" s="243">
        <v>481.19650747819333</v>
      </c>
      <c r="D623" s="243">
        <v>478.11776555869864</v>
      </c>
      <c r="E623" s="243">
        <v>480.95474729541246</v>
      </c>
      <c r="F623" s="243">
        <v>4088785.0457001971</v>
      </c>
      <c r="G623" s="243" t="s">
        <v>47</v>
      </c>
      <c r="H623" s="151">
        <f t="shared" si="21"/>
        <v>-5.7447681575695242E-4</v>
      </c>
      <c r="J623" s="147">
        <v>192.81</v>
      </c>
      <c r="K623" s="147">
        <v>194.12</v>
      </c>
      <c r="L623" s="147">
        <v>191.155</v>
      </c>
      <c r="M623" s="147">
        <v>193.65</v>
      </c>
      <c r="N623" s="147">
        <v>230879</v>
      </c>
      <c r="O623" s="147" t="s">
        <v>47</v>
      </c>
      <c r="P623" s="151">
        <f t="shared" si="22"/>
        <v>-4.3377226955848558E-3</v>
      </c>
    </row>
    <row r="624" spans="2:16" ht="14.25" customHeight="1">
      <c r="B624" s="243">
        <v>480.29360720372614</v>
      </c>
      <c r="C624" s="243">
        <v>480.95474729541246</v>
      </c>
      <c r="D624" s="243">
        <v>477.92534418873026</v>
      </c>
      <c r="E624" s="243">
        <v>478.76410400654134</v>
      </c>
      <c r="F624" s="243">
        <v>2589483.6684812554</v>
      </c>
      <c r="G624" s="243" t="s">
        <v>46</v>
      </c>
      <c r="H624" s="151">
        <f t="shared" si="21"/>
        <v>3.1946906302815492E-3</v>
      </c>
      <c r="J624" s="147">
        <v>193.66</v>
      </c>
      <c r="K624" s="147">
        <v>196.25</v>
      </c>
      <c r="L624" s="147">
        <v>190.96</v>
      </c>
      <c r="M624" s="147">
        <v>190.96</v>
      </c>
      <c r="N624" s="147">
        <v>193348</v>
      </c>
      <c r="O624" s="147" t="s">
        <v>46</v>
      </c>
      <c r="P624" s="151">
        <f t="shared" si="22"/>
        <v>1.4139086719731742E-2</v>
      </c>
    </row>
    <row r="625" spans="2:16" ht="14.25" customHeight="1">
      <c r="B625" s="243">
        <v>477.04711332066933</v>
      </c>
      <c r="C625" s="243">
        <v>483.51049779909556</v>
      </c>
      <c r="D625" s="243">
        <v>475.9123206259838</v>
      </c>
      <c r="E625" s="243">
        <v>483.43155569859573</v>
      </c>
      <c r="F625" s="243">
        <v>3862382.1518472382</v>
      </c>
      <c r="G625" s="243" t="s">
        <v>45</v>
      </c>
      <c r="H625" s="151">
        <f t="shared" si="21"/>
        <v>-1.320650731767059E-2</v>
      </c>
      <c r="J625" s="147">
        <v>190.69</v>
      </c>
      <c r="K625" s="147">
        <v>199.68690000000001</v>
      </c>
      <c r="L625" s="147">
        <v>190.58</v>
      </c>
      <c r="M625" s="147">
        <v>198.5</v>
      </c>
      <c r="N625" s="147">
        <v>247586</v>
      </c>
      <c r="O625" s="147" t="s">
        <v>45</v>
      </c>
      <c r="P625" s="151">
        <f t="shared" si="22"/>
        <v>-3.9345088161209074E-2</v>
      </c>
    </row>
    <row r="626" spans="2:16" ht="14.25" customHeight="1">
      <c r="B626" s="243">
        <v>480.6192433682881</v>
      </c>
      <c r="C626" s="243">
        <v>481.97112683934824</v>
      </c>
      <c r="D626" s="243">
        <v>478.52727770504174</v>
      </c>
      <c r="E626" s="243">
        <v>481.33959003534937</v>
      </c>
      <c r="F626" s="243">
        <v>3294141.8882115106</v>
      </c>
      <c r="G626" s="243" t="s">
        <v>44</v>
      </c>
      <c r="H626" s="151">
        <f t="shared" si="21"/>
        <v>-1.4965456446421888E-3</v>
      </c>
      <c r="J626" s="147">
        <v>198.97</v>
      </c>
      <c r="K626" s="147">
        <v>201.37</v>
      </c>
      <c r="L626" s="147">
        <v>198.82</v>
      </c>
      <c r="M626" s="147">
        <v>199.97</v>
      </c>
      <c r="N626" s="147">
        <v>170699</v>
      </c>
      <c r="O626" s="147" t="s">
        <v>44</v>
      </c>
      <c r="P626" s="151">
        <f t="shared" si="22"/>
        <v>-5.000750112516883E-3</v>
      </c>
    </row>
    <row r="627" spans="2:16" ht="14.25" customHeight="1">
      <c r="B627" s="243">
        <v>482.02046565216068</v>
      </c>
      <c r="C627" s="243">
        <v>482.11914327778544</v>
      </c>
      <c r="D627" s="243">
        <v>479.9186322263518</v>
      </c>
      <c r="E627" s="243">
        <v>480.09625195247645</v>
      </c>
      <c r="F627" s="243">
        <v>2486456.2604378862</v>
      </c>
      <c r="G627" s="243" t="s">
        <v>43</v>
      </c>
      <c r="H627" s="151">
        <f t="shared" si="21"/>
        <v>4.0079748422503503E-3</v>
      </c>
      <c r="J627" s="147">
        <v>200.23</v>
      </c>
      <c r="K627" s="147">
        <v>201.15</v>
      </c>
      <c r="L627" s="147">
        <v>198.47</v>
      </c>
      <c r="M627" s="147">
        <v>200.68</v>
      </c>
      <c r="N627" s="147">
        <v>166696</v>
      </c>
      <c r="O627" s="147" t="s">
        <v>43</v>
      </c>
      <c r="P627" s="151">
        <f t="shared" si="22"/>
        <v>-2.2423759218657136E-3</v>
      </c>
    </row>
    <row r="628" spans="2:16" ht="14.25" customHeight="1">
      <c r="B628" s="243">
        <v>480.72778875647543</v>
      </c>
      <c r="C628" s="243">
        <v>482.14864788784729</v>
      </c>
      <c r="D628" s="243">
        <v>480.01730985197662</v>
      </c>
      <c r="E628" s="243">
        <v>480.34294601653852</v>
      </c>
      <c r="F628" s="243">
        <v>2634421.9204094037</v>
      </c>
      <c r="G628" s="243" t="s">
        <v>42</v>
      </c>
      <c r="H628" s="151">
        <f t="shared" si="21"/>
        <v>8.0118328608413947E-4</v>
      </c>
      <c r="J628" s="147">
        <v>201.44</v>
      </c>
      <c r="K628" s="147">
        <v>204.12</v>
      </c>
      <c r="L628" s="147">
        <v>199.6</v>
      </c>
      <c r="M628" s="147">
        <v>203.54</v>
      </c>
      <c r="N628" s="147">
        <v>166823</v>
      </c>
      <c r="O628" s="147" t="s">
        <v>42</v>
      </c>
      <c r="P628" s="151">
        <f t="shared" si="22"/>
        <v>-1.0317382332710956E-2</v>
      </c>
    </row>
    <row r="629" spans="2:16" ht="14.25" customHeight="1">
      <c r="B629" s="243">
        <v>480.25413615347622</v>
      </c>
      <c r="C629" s="243">
        <v>480.29360720372614</v>
      </c>
      <c r="D629" s="243">
        <v>478.29045140354214</v>
      </c>
      <c r="E629" s="243">
        <v>479.66207039972721</v>
      </c>
      <c r="F629" s="243">
        <v>3317910.1941993055</v>
      </c>
      <c r="G629" s="243" t="s">
        <v>41</v>
      </c>
      <c r="H629" s="151">
        <f t="shared" si="21"/>
        <v>1.2343393198790409E-3</v>
      </c>
      <c r="J629" s="147">
        <v>203.53</v>
      </c>
      <c r="K629" s="147">
        <v>204.09</v>
      </c>
      <c r="L629" s="147">
        <v>200.69</v>
      </c>
      <c r="M629" s="147">
        <v>201.5</v>
      </c>
      <c r="N629" s="147">
        <v>220680</v>
      </c>
      <c r="O629" s="147" t="s">
        <v>41</v>
      </c>
      <c r="P629" s="151">
        <f t="shared" si="22"/>
        <v>1.0074441687344837E-2</v>
      </c>
    </row>
    <row r="630" spans="2:16" ht="14.25" customHeight="1">
      <c r="B630" s="243">
        <v>479.54365724897747</v>
      </c>
      <c r="C630" s="243">
        <v>482.10927551522298</v>
      </c>
      <c r="D630" s="243">
        <v>479.40550857310268</v>
      </c>
      <c r="E630" s="243">
        <v>480.60937560572563</v>
      </c>
      <c r="F630" s="243">
        <v>3392239.1006110399</v>
      </c>
      <c r="G630" s="243" t="s">
        <v>40</v>
      </c>
      <c r="H630" s="151">
        <f t="shared" si="21"/>
        <v>-2.2174314752079205E-3</v>
      </c>
      <c r="J630" s="147">
        <v>201.53</v>
      </c>
      <c r="K630" s="147">
        <v>204.81</v>
      </c>
      <c r="L630" s="147">
        <v>200.96</v>
      </c>
      <c r="M630" s="147">
        <v>204.4</v>
      </c>
      <c r="N630" s="147">
        <v>273269</v>
      </c>
      <c r="O630" s="147" t="s">
        <v>40</v>
      </c>
      <c r="P630" s="151">
        <f t="shared" si="22"/>
        <v>-1.4041095890411026E-2</v>
      </c>
    </row>
    <row r="631" spans="2:16" ht="14.25" customHeight="1">
      <c r="B631" s="243">
        <v>480.46135916728832</v>
      </c>
      <c r="C631" s="243">
        <v>480.78699533185028</v>
      </c>
      <c r="D631" s="243">
        <v>476.35143606001429</v>
      </c>
      <c r="E631" s="243">
        <v>476.94843569504445</v>
      </c>
      <c r="F631" s="243">
        <v>4458442.2984870141</v>
      </c>
      <c r="G631" s="243" t="s">
        <v>39</v>
      </c>
      <c r="H631" s="151">
        <f t="shared" si="21"/>
        <v>7.3654156494393774E-3</v>
      </c>
      <c r="J631" s="147">
        <v>204.7</v>
      </c>
      <c r="K631" s="147">
        <v>211.07</v>
      </c>
      <c r="L631" s="147">
        <v>203.95</v>
      </c>
      <c r="M631" s="147">
        <v>211.07</v>
      </c>
      <c r="N631" s="147">
        <v>295161</v>
      </c>
      <c r="O631" s="147" t="s">
        <v>39</v>
      </c>
      <c r="P631" s="151">
        <f t="shared" si="22"/>
        <v>-3.0179561282986711E-2</v>
      </c>
    </row>
    <row r="632" spans="2:16" ht="14.25" customHeight="1">
      <c r="B632" s="243">
        <v>474.67885030567345</v>
      </c>
      <c r="C632" s="243">
        <v>475.10316409586022</v>
      </c>
      <c r="D632" s="243">
        <v>472.15270308967786</v>
      </c>
      <c r="E632" s="243">
        <v>472.646091217802</v>
      </c>
      <c r="F632" s="243">
        <v>3301380.6112297941</v>
      </c>
      <c r="G632" s="243" t="s">
        <v>38</v>
      </c>
      <c r="H632" s="151">
        <f t="shared" si="21"/>
        <v>4.3008058791598192E-3</v>
      </c>
      <c r="J632" s="147">
        <v>208.73</v>
      </c>
      <c r="K632" s="147">
        <v>211.85</v>
      </c>
      <c r="L632" s="147">
        <v>206.2012</v>
      </c>
      <c r="M632" s="147">
        <v>206.28</v>
      </c>
      <c r="N632" s="147">
        <v>188996</v>
      </c>
      <c r="O632" s="147" t="s">
        <v>38</v>
      </c>
      <c r="P632" s="151">
        <f t="shared" si="22"/>
        <v>1.1877060306379583E-2</v>
      </c>
    </row>
    <row r="633" spans="2:16" ht="14.25" customHeight="1">
      <c r="B633" s="243">
        <v>472.43886820398978</v>
      </c>
      <c r="C633" s="243">
        <v>474.06704902679951</v>
      </c>
      <c r="D633" s="243">
        <v>471.41262089749165</v>
      </c>
      <c r="E633" s="243">
        <v>473.99797468886214</v>
      </c>
      <c r="F633" s="243">
        <v>3150098.0899340655</v>
      </c>
      <c r="G633" s="243" t="s">
        <v>37</v>
      </c>
      <c r="H633" s="151">
        <f t="shared" si="21"/>
        <v>-3.2892682419071173E-3</v>
      </c>
      <c r="J633" s="147">
        <v>204.77</v>
      </c>
      <c r="K633" s="147">
        <v>214.97</v>
      </c>
      <c r="L633" s="147">
        <v>204.36500000000001</v>
      </c>
      <c r="M633" s="147">
        <v>213.1</v>
      </c>
      <c r="N633" s="147">
        <v>218417</v>
      </c>
      <c r="O633" s="147" t="s">
        <v>37</v>
      </c>
      <c r="P633" s="151">
        <f t="shared" si="22"/>
        <v>-3.9089629282027194E-2</v>
      </c>
    </row>
    <row r="634" spans="2:16" ht="14.25" customHeight="1">
      <c r="B634" s="243">
        <v>472.40926491630239</v>
      </c>
      <c r="C634" s="243">
        <v>474.037445739112</v>
      </c>
      <c r="D634" s="243">
        <v>471.2744722216168</v>
      </c>
      <c r="E634" s="243">
        <v>473.34670235973823</v>
      </c>
      <c r="F634" s="243">
        <v>3392014.1255991319</v>
      </c>
      <c r="G634" s="243" t="s">
        <v>36</v>
      </c>
      <c r="H634" s="151">
        <f t="shared" si="21"/>
        <v>-1.9804457045174972E-3</v>
      </c>
      <c r="J634" s="147">
        <v>212.28</v>
      </c>
      <c r="K634" s="147">
        <v>213.035</v>
      </c>
      <c r="L634" s="147">
        <v>206.57</v>
      </c>
      <c r="M634" s="147">
        <v>209.83</v>
      </c>
      <c r="N634" s="147">
        <v>335546</v>
      </c>
      <c r="O634" s="147" t="s">
        <v>36</v>
      </c>
      <c r="P634" s="151">
        <f t="shared" si="22"/>
        <v>1.167611876280783E-2</v>
      </c>
    </row>
    <row r="635" spans="2:16" ht="14.25" customHeight="1">
      <c r="B635" s="243">
        <v>471.82706692511584</v>
      </c>
      <c r="C635" s="243">
        <v>471.82706692511584</v>
      </c>
      <c r="D635" s="243">
        <v>468.65951514255892</v>
      </c>
      <c r="E635" s="243">
        <v>469.30091970912025</v>
      </c>
      <c r="F635" s="243">
        <v>3532765.3841752745</v>
      </c>
      <c r="G635" s="243" t="s">
        <v>35</v>
      </c>
      <c r="H635" s="151">
        <f t="shared" si="21"/>
        <v>5.382787695283664E-3</v>
      </c>
      <c r="J635" s="147">
        <v>209.4</v>
      </c>
      <c r="K635" s="147">
        <v>210.77</v>
      </c>
      <c r="L635" s="147">
        <v>202.76</v>
      </c>
      <c r="M635" s="147">
        <v>204.02</v>
      </c>
      <c r="N635" s="147">
        <v>380712</v>
      </c>
      <c r="O635" s="147" t="s">
        <v>35</v>
      </c>
      <c r="P635" s="151">
        <f t="shared" si="22"/>
        <v>2.6369963729046209E-2</v>
      </c>
    </row>
    <row r="636" spans="2:16" ht="14.25" customHeight="1">
      <c r="B636" s="243">
        <v>469.13316774555813</v>
      </c>
      <c r="C636" s="243">
        <v>469.56734929830736</v>
      </c>
      <c r="D636" s="243">
        <v>467.2385573335614</v>
      </c>
      <c r="E636" s="243">
        <v>467.3273671966237</v>
      </c>
      <c r="F636" s="243">
        <v>3257960.4339315477</v>
      </c>
      <c r="G636" s="243" t="s">
        <v>34</v>
      </c>
      <c r="H636" s="151">
        <f t="shared" si="21"/>
        <v>3.8641018602589838E-3</v>
      </c>
      <c r="J636" s="147">
        <v>203.09</v>
      </c>
      <c r="K636" s="147">
        <v>220.4075</v>
      </c>
      <c r="L636" s="147">
        <v>199.54</v>
      </c>
      <c r="M636" s="147">
        <v>205.91</v>
      </c>
      <c r="N636" s="147">
        <v>918833</v>
      </c>
      <c r="O636" s="147" t="s">
        <v>34</v>
      </c>
      <c r="P636" s="151">
        <f t="shared" si="22"/>
        <v>-1.3695303773493261E-2</v>
      </c>
    </row>
    <row r="637" spans="2:16" ht="14.25" customHeight="1">
      <c r="B637" s="243">
        <v>469.11343222043308</v>
      </c>
      <c r="C637" s="243">
        <v>470.33703477818096</v>
      </c>
      <c r="D637" s="243">
        <v>468.43255660362178</v>
      </c>
      <c r="E637" s="243">
        <v>469.40946509730759</v>
      </c>
      <c r="F637" s="243">
        <v>3497552.7412078525</v>
      </c>
      <c r="G637" s="243" t="s">
        <v>33</v>
      </c>
      <c r="H637" s="151">
        <f t="shared" si="21"/>
        <v>-6.3064956905611869E-4</v>
      </c>
      <c r="J637" s="147">
        <v>210</v>
      </c>
      <c r="K637" s="147">
        <v>214.94</v>
      </c>
      <c r="L637" s="147">
        <v>209.48519999999999</v>
      </c>
      <c r="M637" s="147">
        <v>212.89</v>
      </c>
      <c r="N637" s="147">
        <v>565627</v>
      </c>
      <c r="O637" s="147" t="s">
        <v>33</v>
      </c>
      <c r="P637" s="151">
        <f t="shared" si="22"/>
        <v>-1.3575085725022196E-2</v>
      </c>
    </row>
    <row r="638" spans="2:16" ht="14.25" customHeight="1">
      <c r="B638" s="243">
        <v>468.4424243661843</v>
      </c>
      <c r="C638" s="243">
        <v>468.53123422924665</v>
      </c>
      <c r="D638" s="243">
        <v>465.58077322306428</v>
      </c>
      <c r="E638" s="243">
        <v>465.97548372556361</v>
      </c>
      <c r="F638" s="243">
        <v>4846632.6279304698</v>
      </c>
      <c r="G638" s="243" t="s">
        <v>32</v>
      </c>
      <c r="H638" s="151">
        <f t="shared" si="21"/>
        <v>5.2941425606709558E-3</v>
      </c>
      <c r="J638" s="147">
        <v>211.62</v>
      </c>
      <c r="K638" s="147">
        <v>211.92</v>
      </c>
      <c r="L638" s="147">
        <v>208.27</v>
      </c>
      <c r="M638" s="147">
        <v>209.79</v>
      </c>
      <c r="N638" s="147">
        <v>327016</v>
      </c>
      <c r="O638" s="147" t="s">
        <v>32</v>
      </c>
      <c r="P638" s="151">
        <f t="shared" si="22"/>
        <v>8.723008723008796E-3</v>
      </c>
    </row>
    <row r="639" spans="2:16" ht="14.25" customHeight="1">
      <c r="B639" s="243">
        <v>463.76510491156745</v>
      </c>
      <c r="C639" s="243">
        <v>464.77161669294065</v>
      </c>
      <c r="D639" s="243">
        <v>461.25879189832239</v>
      </c>
      <c r="E639" s="243">
        <v>463.54801413519277</v>
      </c>
      <c r="F639" s="243">
        <v>4648327.2889431035</v>
      </c>
      <c r="G639" s="243" t="s">
        <v>31</v>
      </c>
      <c r="H639" s="151">
        <f t="shared" si="21"/>
        <v>4.6832425068132899E-4</v>
      </c>
      <c r="J639" s="147">
        <v>208.55</v>
      </c>
      <c r="K639" s="147">
        <v>209.67</v>
      </c>
      <c r="L639" s="147">
        <v>206.58</v>
      </c>
      <c r="M639" s="147">
        <v>208.81</v>
      </c>
      <c r="N639" s="147">
        <v>311088</v>
      </c>
      <c r="O639" s="147" t="s">
        <v>31</v>
      </c>
      <c r="P639" s="151">
        <f t="shared" si="22"/>
        <v>-1.2451510942962374E-3</v>
      </c>
    </row>
    <row r="640" spans="2:16" ht="14.25" customHeight="1">
      <c r="B640" s="243">
        <v>458.08127367557734</v>
      </c>
      <c r="C640" s="243">
        <v>458.80162034263856</v>
      </c>
      <c r="D640" s="243">
        <v>453.08818581896105</v>
      </c>
      <c r="E640" s="243">
        <v>457.23264609520379</v>
      </c>
      <c r="F640" s="243">
        <v>4025658.2734399545</v>
      </c>
      <c r="G640" s="243" t="s">
        <v>30</v>
      </c>
      <c r="H640" s="151">
        <f t="shared" si="21"/>
        <v>1.8560082872929318E-3</v>
      </c>
      <c r="J640" s="147">
        <v>206.06</v>
      </c>
      <c r="K640" s="147">
        <v>208.14</v>
      </c>
      <c r="L640" s="147">
        <v>202.81</v>
      </c>
      <c r="M640" s="147">
        <v>207.08</v>
      </c>
      <c r="N640" s="147">
        <v>368376</v>
      </c>
      <c r="O640" s="147" t="s">
        <v>30</v>
      </c>
      <c r="P640" s="151">
        <f t="shared" si="22"/>
        <v>-4.9256326057562916E-3</v>
      </c>
    </row>
    <row r="641" spans="2:16" ht="14.25" customHeight="1">
      <c r="B641" s="243">
        <v>453.84800353627219</v>
      </c>
      <c r="C641" s="243">
        <v>460.89358600588491</v>
      </c>
      <c r="D641" s="243">
        <v>453.36448317071051</v>
      </c>
      <c r="E641" s="243">
        <v>454.67689559152075</v>
      </c>
      <c r="F641" s="243">
        <v>6197328.889175579</v>
      </c>
      <c r="G641" s="243" t="s">
        <v>29</v>
      </c>
      <c r="H641" s="151">
        <f t="shared" si="21"/>
        <v>-1.8230353538641886E-3</v>
      </c>
      <c r="J641" s="147">
        <v>205.29</v>
      </c>
      <c r="K641" s="147">
        <v>208.7799</v>
      </c>
      <c r="L641" s="147">
        <v>196.48</v>
      </c>
      <c r="M641" s="147">
        <v>196.69</v>
      </c>
      <c r="N641" s="147">
        <v>544684</v>
      </c>
      <c r="O641" s="147" t="s">
        <v>29</v>
      </c>
      <c r="P641" s="151">
        <f t="shared" si="22"/>
        <v>4.3723626010473415E-2</v>
      </c>
    </row>
    <row r="642" spans="2:16" ht="14.25" customHeight="1">
      <c r="B642" s="243">
        <v>455.3281679206446</v>
      </c>
      <c r="C642" s="243">
        <v>462.14679185132024</v>
      </c>
      <c r="D642" s="243">
        <v>455.25909358270724</v>
      </c>
      <c r="E642" s="243">
        <v>461.23895769557186</v>
      </c>
      <c r="F642" s="243">
        <v>4423328.9688131372</v>
      </c>
      <c r="G642" s="243" t="s">
        <v>28</v>
      </c>
      <c r="H642" s="151">
        <f t="shared" si="21"/>
        <v>-1.2815027170424931E-2</v>
      </c>
      <c r="J642" s="147">
        <v>196.47</v>
      </c>
      <c r="K642" s="147">
        <v>203.2604</v>
      </c>
      <c r="L642" s="147">
        <v>196.23</v>
      </c>
      <c r="M642" s="147">
        <v>201.11</v>
      </c>
      <c r="N642" s="147">
        <v>302761</v>
      </c>
      <c r="O642" s="241" t="s">
        <v>28</v>
      </c>
      <c r="P642" s="151">
        <f t="shared" si="22"/>
        <v>-2.3071950673760666E-2</v>
      </c>
    </row>
    <row r="643" spans="2:16" ht="14.25" customHeight="1">
      <c r="B643" s="243">
        <v>462.64017997944438</v>
      </c>
      <c r="C643" s="243">
        <v>463.21251020806841</v>
      </c>
      <c r="D643" s="243">
        <v>460.04495842551137</v>
      </c>
      <c r="E643" s="243">
        <v>462.64017997944438</v>
      </c>
      <c r="F643" s="243">
        <v>3296801.0523162251</v>
      </c>
      <c r="G643" s="243" t="s">
        <v>27</v>
      </c>
      <c r="H643" s="151">
        <f t="shared" si="21"/>
        <v>0</v>
      </c>
      <c r="J643" s="147">
        <v>202.04</v>
      </c>
      <c r="K643" s="147">
        <v>207.66849999999999</v>
      </c>
      <c r="L643" s="147">
        <v>199.32</v>
      </c>
      <c r="M643" s="147">
        <v>205.83</v>
      </c>
      <c r="N643" s="147">
        <v>361558</v>
      </c>
      <c r="O643" s="147" t="s">
        <v>27</v>
      </c>
      <c r="P643" s="151">
        <f t="shared" si="22"/>
        <v>-1.8413253655929718E-2</v>
      </c>
    </row>
    <row r="644" spans="2:16" ht="14.25" customHeight="1">
      <c r="B644" s="243">
        <v>461.03173468175964</v>
      </c>
      <c r="C644" s="243">
        <v>462.43295696563223</v>
      </c>
      <c r="D644" s="243">
        <v>458.66347166676383</v>
      </c>
      <c r="E644" s="243">
        <v>459.17659532001289</v>
      </c>
      <c r="F644" s="243">
        <v>4972872.9982385458</v>
      </c>
      <c r="G644" s="243" t="s">
        <v>26</v>
      </c>
      <c r="H644" s="151">
        <f t="shared" si="21"/>
        <v>4.0401435540369235E-3</v>
      </c>
      <c r="J644" s="147">
        <v>204.41</v>
      </c>
      <c r="K644" s="147">
        <v>207.17</v>
      </c>
      <c r="L644" s="147">
        <v>203.1</v>
      </c>
      <c r="M644" s="147">
        <v>206.4</v>
      </c>
      <c r="N644" s="147">
        <v>290642</v>
      </c>
      <c r="O644" s="147" t="s">
        <v>26</v>
      </c>
      <c r="P644" s="151">
        <f t="shared" si="22"/>
        <v>-9.6414728682171491E-3</v>
      </c>
    </row>
    <row r="645" spans="2:16" ht="14.25" customHeight="1">
      <c r="B645" s="243">
        <v>456.46296061533013</v>
      </c>
      <c r="C645" s="243">
        <v>457.33132372082861</v>
      </c>
      <c r="D645" s="243">
        <v>451.21331093208926</v>
      </c>
      <c r="E645" s="243">
        <v>452.70334307902419</v>
      </c>
      <c r="F645" s="243">
        <v>4941574.1097575594</v>
      </c>
      <c r="G645" s="243" t="s">
        <v>25</v>
      </c>
      <c r="H645" s="151">
        <f t="shared" si="21"/>
        <v>8.3048150489350991E-3</v>
      </c>
      <c r="J645" s="147">
        <v>205.5</v>
      </c>
      <c r="K645" s="147">
        <v>206.66</v>
      </c>
      <c r="L645" s="147">
        <v>201.01</v>
      </c>
      <c r="M645" s="147">
        <v>204.22</v>
      </c>
      <c r="N645" s="147">
        <v>261670</v>
      </c>
      <c r="O645" s="147" t="s">
        <v>25</v>
      </c>
      <c r="P645" s="151">
        <f t="shared" si="22"/>
        <v>6.2677504651846849E-3</v>
      </c>
    </row>
    <row r="646" spans="2:16" ht="14.25" customHeight="1">
      <c r="B646" s="243">
        <v>458.35757102732686</v>
      </c>
      <c r="C646" s="243">
        <v>460.14363605113624</v>
      </c>
      <c r="D646" s="243">
        <v>456.3248119394554</v>
      </c>
      <c r="E646" s="243">
        <v>459.4134216215125</v>
      </c>
      <c r="F646" s="243">
        <v>7790861.3541524773</v>
      </c>
      <c r="G646" s="243" t="s">
        <v>24</v>
      </c>
      <c r="H646" s="151">
        <f t="shared" si="21"/>
        <v>-2.298258049272861E-3</v>
      </c>
      <c r="J646" s="147">
        <v>206.15</v>
      </c>
      <c r="K646" s="147">
        <v>209.005</v>
      </c>
      <c r="L646" s="147">
        <v>204.12</v>
      </c>
      <c r="M646" s="147">
        <v>207.31</v>
      </c>
      <c r="N646" s="147">
        <v>336365</v>
      </c>
      <c r="O646" s="147" t="s">
        <v>24</v>
      </c>
      <c r="P646" s="151">
        <f t="shared" si="22"/>
        <v>-5.5954850224301245E-3</v>
      </c>
    </row>
    <row r="647" spans="2:16" ht="14.25" customHeight="1">
      <c r="B647" s="243">
        <v>458.69307495445122</v>
      </c>
      <c r="C647" s="243">
        <v>458.97924006876326</v>
      </c>
      <c r="D647" s="243">
        <v>454.57821796589593</v>
      </c>
      <c r="E647" s="243">
        <v>455.08147385658253</v>
      </c>
      <c r="F647" s="243">
        <v>4314453.2238611141</v>
      </c>
      <c r="G647" s="243" t="s">
        <v>23</v>
      </c>
      <c r="H647" s="151">
        <f t="shared" si="21"/>
        <v>7.9361637538488683E-3</v>
      </c>
      <c r="J647" s="147">
        <v>205.7</v>
      </c>
      <c r="K647" s="147">
        <v>207.21</v>
      </c>
      <c r="L647" s="147">
        <v>203.095</v>
      </c>
      <c r="M647" s="147">
        <v>203.9</v>
      </c>
      <c r="N647" s="147">
        <v>391951</v>
      </c>
      <c r="O647" s="147" t="s">
        <v>23</v>
      </c>
      <c r="P647" s="151">
        <f t="shared" si="22"/>
        <v>8.8278567925452744E-3</v>
      </c>
    </row>
    <row r="648" spans="2:16" ht="14.25" customHeight="1">
      <c r="B648" s="243">
        <v>452.97964043077371</v>
      </c>
      <c r="C648" s="243">
        <v>455.62410211989345</v>
      </c>
      <c r="D648" s="243">
        <v>449.32856828265511</v>
      </c>
      <c r="E648" s="243">
        <v>451.4994760464013</v>
      </c>
      <c r="F648" s="243">
        <v>5896055.932801161</v>
      </c>
      <c r="G648" s="243" t="s">
        <v>22</v>
      </c>
      <c r="H648" s="151">
        <f t="shared" si="21"/>
        <v>3.2783302371326428E-3</v>
      </c>
      <c r="J648" s="147">
        <v>203</v>
      </c>
      <c r="K648" s="147">
        <v>206.36</v>
      </c>
      <c r="L648" s="147">
        <v>200.8</v>
      </c>
      <c r="M648" s="147">
        <v>204.04</v>
      </c>
      <c r="N648" s="147">
        <v>348377</v>
      </c>
      <c r="O648" s="147" t="s">
        <v>22</v>
      </c>
      <c r="P648" s="151">
        <f t="shared" si="22"/>
        <v>-5.0970397961184188E-3</v>
      </c>
    </row>
    <row r="649" spans="2:16" ht="14.25" customHeight="1">
      <c r="B649" s="243">
        <v>449.08187421859304</v>
      </c>
      <c r="C649" s="243">
        <v>453.85787129883465</v>
      </c>
      <c r="D649" s="243">
        <v>447.89774271109502</v>
      </c>
      <c r="E649" s="243">
        <v>452.92043385539881</v>
      </c>
      <c r="F649" s="243">
        <v>9918615.2261221297</v>
      </c>
      <c r="G649" s="243" t="s">
        <v>21</v>
      </c>
      <c r="H649" s="151">
        <f t="shared" si="21"/>
        <v>-8.4751301771279763E-3</v>
      </c>
      <c r="J649" s="147">
        <v>202.72</v>
      </c>
      <c r="K649" s="147">
        <v>204.10990000000001</v>
      </c>
      <c r="L649" s="147">
        <v>199.38</v>
      </c>
      <c r="M649" s="147">
        <v>202.7</v>
      </c>
      <c r="N649" s="147">
        <v>338662</v>
      </c>
      <c r="O649" s="147" t="s">
        <v>21</v>
      </c>
      <c r="P649" s="151">
        <f t="shared" si="22"/>
        <v>9.8667982239897256E-5</v>
      </c>
    </row>
    <row r="650" spans="2:16" ht="14.25" customHeight="1">
      <c r="B650" s="243">
        <v>452.87109504258638</v>
      </c>
      <c r="C650" s="243">
        <v>457.17343951982895</v>
      </c>
      <c r="D650" s="243">
        <v>452.15074837552515</v>
      </c>
      <c r="E650" s="243">
        <v>455.25909358270724</v>
      </c>
      <c r="F650" s="243">
        <v>5712831.0134183131</v>
      </c>
      <c r="G650" s="243" t="s">
        <v>20</v>
      </c>
      <c r="H650" s="151">
        <f t="shared" ref="H650:H713" si="23">B650/E650-1</f>
        <v>-5.245361539795379E-3</v>
      </c>
      <c r="J650" s="147">
        <v>201.84</v>
      </c>
      <c r="K650" s="147">
        <v>208.595</v>
      </c>
      <c r="L650" s="147">
        <v>200.96</v>
      </c>
      <c r="M650" s="147">
        <v>208.15</v>
      </c>
      <c r="N650" s="147">
        <v>330454</v>
      </c>
      <c r="O650" s="147" t="s">
        <v>20</v>
      </c>
      <c r="P650" s="151">
        <f t="shared" ref="P650:P713" si="24">J650/M650-1</f>
        <v>-3.031467691568579E-2</v>
      </c>
    </row>
    <row r="651" spans="2:16" ht="14.25" customHeight="1">
      <c r="B651" s="243">
        <v>453.90721011164709</v>
      </c>
      <c r="C651" s="243">
        <v>459.0877854569506</v>
      </c>
      <c r="D651" s="243">
        <v>452.66387202877428</v>
      </c>
      <c r="E651" s="243">
        <v>458.95950454363833</v>
      </c>
      <c r="F651" s="243">
        <v>7252129.2995110629</v>
      </c>
      <c r="G651" s="243" t="s">
        <v>19</v>
      </c>
      <c r="H651" s="151">
        <f t="shared" si="23"/>
        <v>-1.1008148610006319E-2</v>
      </c>
      <c r="J651" s="147">
        <v>208.68</v>
      </c>
      <c r="K651" s="147">
        <v>211.4</v>
      </c>
      <c r="L651" s="147">
        <v>208.4</v>
      </c>
      <c r="M651" s="147">
        <v>209.48</v>
      </c>
      <c r="N651" s="147">
        <v>346505</v>
      </c>
      <c r="O651" s="147" t="s">
        <v>19</v>
      </c>
      <c r="P651" s="151">
        <f t="shared" si="24"/>
        <v>-3.8189803322512539E-3</v>
      </c>
    </row>
    <row r="652" spans="2:16" ht="14.25" customHeight="1">
      <c r="B652" s="243">
        <v>456.66031586657977</v>
      </c>
      <c r="C652" s="243">
        <v>459.3542150461376</v>
      </c>
      <c r="D652" s="243">
        <v>455.48605212164432</v>
      </c>
      <c r="E652" s="243">
        <v>457.91352171201515</v>
      </c>
      <c r="F652" s="243">
        <v>6852028.4686488919</v>
      </c>
      <c r="G652" s="243" t="s">
        <v>18</v>
      </c>
      <c r="H652" s="151">
        <f t="shared" si="23"/>
        <v>-2.736774054520108E-3</v>
      </c>
      <c r="J652" s="147">
        <v>210.05</v>
      </c>
      <c r="K652" s="147">
        <v>212.77</v>
      </c>
      <c r="L652" s="147">
        <v>207.04</v>
      </c>
      <c r="M652" s="147">
        <v>209.29</v>
      </c>
      <c r="N652" s="147">
        <v>232495</v>
      </c>
      <c r="O652" s="147" t="s">
        <v>18</v>
      </c>
      <c r="P652" s="151">
        <f t="shared" si="24"/>
        <v>3.6313249558030947E-3</v>
      </c>
    </row>
    <row r="653" spans="2:16" ht="14.25" customHeight="1">
      <c r="B653" s="243">
        <v>457.47934015926592</v>
      </c>
      <c r="C653" s="243">
        <v>467.3273671966237</v>
      </c>
      <c r="D653" s="243">
        <v>456.72939020451719</v>
      </c>
      <c r="E653" s="243">
        <v>467.20895404587395</v>
      </c>
      <c r="F653" s="243">
        <v>9657755.6864138376</v>
      </c>
      <c r="G653" s="243" t="s">
        <v>17</v>
      </c>
      <c r="H653" s="151">
        <f t="shared" si="23"/>
        <v>-2.0824973071155495E-2</v>
      </c>
      <c r="J653" s="147">
        <v>210.19</v>
      </c>
      <c r="K653" s="147">
        <v>221.13</v>
      </c>
      <c r="L653" s="147">
        <v>210.16</v>
      </c>
      <c r="M653" s="147">
        <v>219.24</v>
      </c>
      <c r="N653" s="147">
        <v>208831</v>
      </c>
      <c r="O653" s="147" t="s">
        <v>17</v>
      </c>
      <c r="P653" s="151">
        <f t="shared" si="24"/>
        <v>-4.1278963692756854E-2</v>
      </c>
    </row>
    <row r="654" spans="2:16" ht="14.25" customHeight="1">
      <c r="B654" s="243">
        <v>463.3605266465056</v>
      </c>
      <c r="C654" s="243">
        <v>467.78128427449792</v>
      </c>
      <c r="D654" s="243">
        <v>461.72247806113353</v>
      </c>
      <c r="E654" s="243">
        <v>466.51821066650012</v>
      </c>
      <c r="F654" s="243">
        <v>7052989.9315381097</v>
      </c>
      <c r="G654" s="243" t="s">
        <v>16</v>
      </c>
      <c r="H654" s="151">
        <f t="shared" si="23"/>
        <v>-6.7686189902066429E-3</v>
      </c>
      <c r="J654" s="147">
        <v>217.45</v>
      </c>
      <c r="K654" s="147">
        <v>222.30500000000001</v>
      </c>
      <c r="L654" s="147">
        <v>216.78</v>
      </c>
      <c r="M654" s="147">
        <v>220.09</v>
      </c>
      <c r="N654" s="147">
        <v>171287</v>
      </c>
      <c r="O654" s="147" t="s">
        <v>16</v>
      </c>
      <c r="P654" s="151">
        <f t="shared" si="24"/>
        <v>-1.1995092916534222E-2</v>
      </c>
    </row>
    <row r="655" spans="2:16" ht="14.25" customHeight="1">
      <c r="B655" s="243">
        <v>469.764704549557</v>
      </c>
      <c r="C655" s="243">
        <v>471.11658802061714</v>
      </c>
      <c r="D655" s="243">
        <v>464.44598052837875</v>
      </c>
      <c r="E655" s="243">
        <v>467.71220993656055</v>
      </c>
      <c r="F655" s="243">
        <v>5178378.5510079227</v>
      </c>
      <c r="G655" s="243" t="s">
        <v>15</v>
      </c>
      <c r="H655" s="151">
        <f t="shared" si="23"/>
        <v>4.3883708173340086E-3</v>
      </c>
      <c r="J655" s="147">
        <v>222.46</v>
      </c>
      <c r="K655" s="147">
        <v>224.3</v>
      </c>
      <c r="L655" s="147">
        <v>219.26499999999999</v>
      </c>
      <c r="M655" s="147">
        <v>223.55</v>
      </c>
      <c r="N655" s="147">
        <v>206905</v>
      </c>
      <c r="O655" s="147" t="s">
        <v>15</v>
      </c>
      <c r="P655" s="151">
        <f t="shared" si="24"/>
        <v>-4.87586669648854E-3</v>
      </c>
    </row>
    <row r="656" spans="2:16" ht="14.25" customHeight="1">
      <c r="B656" s="243">
        <v>466.39979751575032</v>
      </c>
      <c r="C656" s="243">
        <v>468.11678820162234</v>
      </c>
      <c r="D656" s="243">
        <v>464.44598052837875</v>
      </c>
      <c r="E656" s="243">
        <v>465.66958308612664</v>
      </c>
      <c r="F656" s="243">
        <v>7026302.0174002824</v>
      </c>
      <c r="G656" s="243" t="s">
        <v>14</v>
      </c>
      <c r="H656" s="151">
        <f t="shared" si="23"/>
        <v>1.5680956114512146E-3</v>
      </c>
      <c r="J656" s="147">
        <v>221.1</v>
      </c>
      <c r="K656" s="147">
        <v>221.85</v>
      </c>
      <c r="L656" s="147">
        <v>216.34</v>
      </c>
      <c r="M656" s="147">
        <v>218.91</v>
      </c>
      <c r="N656" s="147">
        <v>192515</v>
      </c>
      <c r="O656" s="147" t="s">
        <v>14</v>
      </c>
      <c r="P656" s="151">
        <f t="shared" si="24"/>
        <v>1.0004111278607564E-2</v>
      </c>
    </row>
    <row r="657" spans="2:16" ht="14.25" customHeight="1">
      <c r="B657" s="243">
        <v>470.95870381961737</v>
      </c>
      <c r="C657" s="243">
        <v>472.27111624042766</v>
      </c>
      <c r="D657" s="243">
        <v>466.48860737881267</v>
      </c>
      <c r="E657" s="243">
        <v>472.05402546405298</v>
      </c>
      <c r="F657" s="243">
        <v>5324602.174738585</v>
      </c>
      <c r="G657" s="243" t="s">
        <v>13</v>
      </c>
      <c r="H657" s="151">
        <f t="shared" si="23"/>
        <v>-2.3203311175217234E-3</v>
      </c>
      <c r="J657" s="147">
        <v>222.91</v>
      </c>
      <c r="K657" s="147">
        <v>223.8</v>
      </c>
      <c r="L657" s="147">
        <v>220.58</v>
      </c>
      <c r="M657" s="147">
        <v>221.99</v>
      </c>
      <c r="N657" s="147">
        <v>234655</v>
      </c>
      <c r="O657" s="147" t="s">
        <v>13</v>
      </c>
      <c r="P657" s="151">
        <f t="shared" si="24"/>
        <v>4.1443308257127498E-3</v>
      </c>
    </row>
    <row r="658" spans="2:16" ht="14.25" customHeight="1">
      <c r="B658" s="243">
        <v>470.37650582843094</v>
      </c>
      <c r="C658" s="243">
        <v>471.74812482461601</v>
      </c>
      <c r="D658" s="243">
        <v>469.67589468649464</v>
      </c>
      <c r="E658" s="243">
        <v>470.84029066886757</v>
      </c>
      <c r="F658" s="243">
        <v>4800255.3466468742</v>
      </c>
      <c r="G658" s="243" t="s">
        <v>12</v>
      </c>
      <c r="H658" s="151">
        <f t="shared" si="23"/>
        <v>-9.8501519438320972E-4</v>
      </c>
      <c r="J658" s="147">
        <v>220.07</v>
      </c>
      <c r="K658" s="147">
        <v>224</v>
      </c>
      <c r="L658" s="147">
        <v>217.6</v>
      </c>
      <c r="M658" s="147">
        <v>223.66</v>
      </c>
      <c r="N658" s="147">
        <v>303372</v>
      </c>
      <c r="O658" s="147" t="s">
        <v>12</v>
      </c>
      <c r="P658" s="151">
        <f t="shared" si="24"/>
        <v>-1.6051149065545944E-2</v>
      </c>
    </row>
    <row r="659" spans="2:16" ht="14.25" customHeight="1">
      <c r="B659" s="243">
        <v>470.18901833974377</v>
      </c>
      <c r="C659" s="243">
        <v>472.00468665124055</v>
      </c>
      <c r="D659" s="243">
        <v>466.17283897681324</v>
      </c>
      <c r="E659" s="243">
        <v>466.59715276700001</v>
      </c>
      <c r="F659" s="243">
        <v>5663046.6781255519</v>
      </c>
      <c r="G659" s="243" t="s">
        <v>11</v>
      </c>
      <c r="H659" s="151">
        <f t="shared" si="23"/>
        <v>7.6980014803849084E-3</v>
      </c>
      <c r="J659" s="147">
        <v>223.95</v>
      </c>
      <c r="K659" s="147">
        <v>226.27</v>
      </c>
      <c r="L659" s="147">
        <v>214.84</v>
      </c>
      <c r="M659" s="147">
        <v>216.27</v>
      </c>
      <c r="N659" s="147">
        <v>489384</v>
      </c>
      <c r="O659" s="147" t="s">
        <v>11</v>
      </c>
      <c r="P659" s="151">
        <f t="shared" si="24"/>
        <v>3.5511166597308907E-2</v>
      </c>
    </row>
    <row r="660" spans="2:16" ht="14.25" customHeight="1">
      <c r="B660" s="243">
        <v>465.24526929593986</v>
      </c>
      <c r="C660" s="243">
        <v>475.11303185842269</v>
      </c>
      <c r="D660" s="243">
        <v>465.03804628212771</v>
      </c>
      <c r="E660" s="243">
        <v>474.83673450667311</v>
      </c>
      <c r="F660" s="243">
        <v>6963270.5048297672</v>
      </c>
      <c r="G660" s="243" t="s">
        <v>10</v>
      </c>
      <c r="H660" s="151">
        <f t="shared" si="23"/>
        <v>-2.0199501246882634E-2</v>
      </c>
      <c r="J660" s="147">
        <v>215.46</v>
      </c>
      <c r="K660" s="147">
        <v>218.6</v>
      </c>
      <c r="L660" s="147">
        <v>214.72</v>
      </c>
      <c r="M660" s="147">
        <v>216.04</v>
      </c>
      <c r="N660" s="147">
        <v>333139</v>
      </c>
      <c r="O660" s="147" t="s">
        <v>10</v>
      </c>
      <c r="P660" s="151">
        <f t="shared" si="24"/>
        <v>-2.6846880207368473E-3</v>
      </c>
    </row>
    <row r="661" spans="2:16" ht="14.25" customHeight="1">
      <c r="B661" s="243">
        <v>471.04751368267978</v>
      </c>
      <c r="C661" s="243">
        <v>472.47044504418977</v>
      </c>
      <c r="D661" s="243">
        <v>469.49827496036994</v>
      </c>
      <c r="E661" s="243">
        <v>469.54761377318232</v>
      </c>
      <c r="F661" s="243">
        <v>6308230.4226357285</v>
      </c>
      <c r="G661" s="243" t="s">
        <v>9</v>
      </c>
      <c r="H661" s="151">
        <f t="shared" si="23"/>
        <v>3.194351042367316E-3</v>
      </c>
      <c r="J661" s="147">
        <v>215</v>
      </c>
      <c r="K661" s="147">
        <v>215.34</v>
      </c>
      <c r="L661" s="147">
        <v>209.45</v>
      </c>
      <c r="M661" s="147">
        <v>209.83</v>
      </c>
      <c r="N661" s="147">
        <v>279310</v>
      </c>
      <c r="O661" s="147" t="s">
        <v>9</v>
      </c>
      <c r="P661" s="151">
        <f t="shared" si="24"/>
        <v>2.4638993470905035E-2</v>
      </c>
    </row>
    <row r="662" spans="2:16" ht="14.25" customHeight="1">
      <c r="B662" s="243">
        <v>470.62319989249301</v>
      </c>
      <c r="C662" s="243">
        <v>470.68240646786791</v>
      </c>
      <c r="D662" s="243">
        <v>468.43255660362178</v>
      </c>
      <c r="E662" s="243">
        <v>470.03113413874399</v>
      </c>
      <c r="F662" s="243">
        <v>4882385.4136066614</v>
      </c>
      <c r="G662" s="243" t="s">
        <v>8</v>
      </c>
      <c r="H662" s="151">
        <f t="shared" si="23"/>
        <v>1.259630928138078E-3</v>
      </c>
      <c r="J662" s="147">
        <v>211.5</v>
      </c>
      <c r="K662" s="147">
        <v>215.26</v>
      </c>
      <c r="L662" s="147">
        <v>209.99</v>
      </c>
      <c r="M662" s="147">
        <v>214.99</v>
      </c>
      <c r="N662" s="147">
        <v>296945</v>
      </c>
      <c r="O662" s="147" t="s">
        <v>8</v>
      </c>
      <c r="P662" s="151">
        <f t="shared" si="24"/>
        <v>-1.62333131773571E-2</v>
      </c>
    </row>
    <row r="663" spans="2:16" ht="14.25" customHeight="1">
      <c r="B663" s="243">
        <v>473.72167733711257</v>
      </c>
      <c r="C663" s="243">
        <v>475.58668446142184</v>
      </c>
      <c r="D663" s="243">
        <v>472.49807477936469</v>
      </c>
      <c r="E663" s="243">
        <v>475.07356080817272</v>
      </c>
      <c r="F663" s="243">
        <v>5810800.5372975701</v>
      </c>
      <c r="G663" s="243" t="s">
        <v>7</v>
      </c>
      <c r="H663" s="151">
        <f t="shared" si="23"/>
        <v>-2.8456297773347128E-3</v>
      </c>
      <c r="J663" s="147">
        <v>217.39</v>
      </c>
      <c r="K663" s="147">
        <v>224.19499999999999</v>
      </c>
      <c r="L663" s="147">
        <v>215.33500000000001</v>
      </c>
      <c r="M663" s="147">
        <v>223.18</v>
      </c>
      <c r="N663" s="147">
        <v>305822</v>
      </c>
      <c r="O663" s="147" t="s">
        <v>7</v>
      </c>
      <c r="P663" s="151">
        <f t="shared" si="24"/>
        <v>-2.5943184873196579E-2</v>
      </c>
    </row>
    <row r="664" spans="2:16" ht="14.25" customHeight="1">
      <c r="B664" s="243">
        <v>474.34334637854897</v>
      </c>
      <c r="C664" s="243">
        <v>475.78384235742027</v>
      </c>
      <c r="D664" s="243">
        <v>474.14934616657058</v>
      </c>
      <c r="E664" s="243">
        <v>474.51109834211121</v>
      </c>
      <c r="F664" s="243">
        <v>4119493.1214246862</v>
      </c>
      <c r="G664" s="243" t="s">
        <v>694</v>
      </c>
      <c r="H664" s="151">
        <f t="shared" si="23"/>
        <v>-3.5352590097126324E-4</v>
      </c>
      <c r="J664" s="147">
        <v>223.18</v>
      </c>
      <c r="K664" s="147">
        <v>228.43</v>
      </c>
      <c r="L664" s="147">
        <v>222.71</v>
      </c>
      <c r="M664" s="147">
        <v>226.07</v>
      </c>
      <c r="N664" s="147">
        <v>387504</v>
      </c>
      <c r="O664" s="147" t="s">
        <v>694</v>
      </c>
      <c r="P664" s="151">
        <f t="shared" si="24"/>
        <v>-1.2783651081523351E-2</v>
      </c>
    </row>
    <row r="665" spans="2:16" ht="14.25" customHeight="1">
      <c r="B665" s="243">
        <v>474.40255295392387</v>
      </c>
      <c r="C665" s="243">
        <v>474.51109834211121</v>
      </c>
      <c r="D665" s="243">
        <v>471.13632354574207</v>
      </c>
      <c r="E665" s="243">
        <v>473.16908263361353</v>
      </c>
      <c r="F665" s="243">
        <v>5017782.8749399669</v>
      </c>
      <c r="G665" s="243" t="s">
        <v>695</v>
      </c>
      <c r="H665" s="151">
        <f t="shared" si="23"/>
        <v>2.6068278033826164E-3</v>
      </c>
      <c r="J665" s="147">
        <v>226.38</v>
      </c>
      <c r="K665" s="147">
        <v>227.125</v>
      </c>
      <c r="L665" s="147">
        <v>222.42</v>
      </c>
      <c r="M665" s="147">
        <v>222.97</v>
      </c>
      <c r="N665" s="147">
        <v>464660</v>
      </c>
      <c r="O665" s="147" t="s">
        <v>695</v>
      </c>
      <c r="P665" s="151">
        <f t="shared" si="24"/>
        <v>1.5293537247163203E-2</v>
      </c>
    </row>
    <row r="666" spans="2:16" ht="14.25" customHeight="1">
      <c r="B666" s="243">
        <v>470.29756372793105</v>
      </c>
      <c r="C666" s="243">
        <v>473.0309339577388</v>
      </c>
      <c r="D666" s="243">
        <v>470.12981176436887</v>
      </c>
      <c r="E666" s="243">
        <v>472.72503331830183</v>
      </c>
      <c r="F666" s="243">
        <v>8181694.6332853744</v>
      </c>
      <c r="G666" s="243" t="s">
        <v>696</v>
      </c>
      <c r="H666" s="151">
        <f t="shared" si="23"/>
        <v>-5.1350561516302351E-3</v>
      </c>
      <c r="J666" s="147">
        <v>220.87</v>
      </c>
      <c r="K666" s="147">
        <v>225.25</v>
      </c>
      <c r="L666" s="147">
        <v>218.45500000000001</v>
      </c>
      <c r="M666" s="147">
        <v>225.25</v>
      </c>
      <c r="N666" s="147">
        <v>928942</v>
      </c>
      <c r="O666" s="147" t="s">
        <v>696</v>
      </c>
      <c r="P666" s="151">
        <f t="shared" si="24"/>
        <v>-1.944506104328525E-2</v>
      </c>
    </row>
    <row r="667" spans="2:16" ht="14.25" customHeight="1">
      <c r="B667" s="243">
        <v>471.61984391130375</v>
      </c>
      <c r="C667" s="243">
        <v>472.45860372911483</v>
      </c>
      <c r="D667" s="243">
        <v>471.23500117136695</v>
      </c>
      <c r="E667" s="243">
        <v>471.41262089749165</v>
      </c>
      <c r="F667" s="243">
        <v>6162771.9166257447</v>
      </c>
      <c r="G667" s="243" t="s">
        <v>697</v>
      </c>
      <c r="H667" s="151">
        <f t="shared" si="23"/>
        <v>4.3957884160494842E-4</v>
      </c>
      <c r="J667" s="147">
        <v>220.09</v>
      </c>
      <c r="K667" s="147">
        <v>227.58</v>
      </c>
      <c r="L667" s="147">
        <v>217.36500000000001</v>
      </c>
      <c r="M667" s="147">
        <v>225.73</v>
      </c>
      <c r="N667" s="147">
        <v>503666</v>
      </c>
      <c r="O667" s="147" t="s">
        <v>697</v>
      </c>
      <c r="P667" s="151">
        <f t="shared" si="24"/>
        <v>-2.4985602268196461E-2</v>
      </c>
    </row>
    <row r="668" spans="2:16" ht="14.25" customHeight="1">
      <c r="B668" s="243">
        <v>472.84344646905163</v>
      </c>
      <c r="C668" s="243">
        <v>473.96837140117464</v>
      </c>
      <c r="D668" s="243">
        <v>472.48820701680222</v>
      </c>
      <c r="E668" s="243">
        <v>473.52432208586293</v>
      </c>
      <c r="F668" s="243">
        <v>5960320.7543333527</v>
      </c>
      <c r="G668" s="243" t="s">
        <v>698</v>
      </c>
      <c r="H668" s="151">
        <f t="shared" si="23"/>
        <v>-1.4378894283868515E-3</v>
      </c>
      <c r="J668" s="147">
        <v>224.74</v>
      </c>
      <c r="K668" s="147">
        <v>227.47</v>
      </c>
      <c r="L668" s="147">
        <v>220.74</v>
      </c>
      <c r="M668" s="147">
        <v>227.47</v>
      </c>
      <c r="N668" s="147">
        <v>327984</v>
      </c>
      <c r="O668" s="147" t="s">
        <v>698</v>
      </c>
      <c r="P668" s="151">
        <f t="shared" si="24"/>
        <v>-1.2001582626280372E-2</v>
      </c>
    </row>
    <row r="669" spans="2:16" ht="14.25" customHeight="1">
      <c r="B669" s="243">
        <v>473.46225385934514</v>
      </c>
      <c r="C669" s="243">
        <v>475.31636489814201</v>
      </c>
      <c r="D669" s="243">
        <v>473.32454799969969</v>
      </c>
      <c r="E669" s="243">
        <v>474.71144272898545</v>
      </c>
      <c r="F669" s="243">
        <v>5128722.9303001203</v>
      </c>
      <c r="G669" s="243" t="s">
        <v>699</v>
      </c>
      <c r="H669" s="151">
        <f t="shared" si="23"/>
        <v>-2.6314698934979397E-3</v>
      </c>
      <c r="J669" s="147">
        <v>227.56</v>
      </c>
      <c r="K669" s="147">
        <v>238.55869999999999</v>
      </c>
      <c r="L669" s="147">
        <v>227.09</v>
      </c>
      <c r="M669" s="147">
        <v>237.15</v>
      </c>
      <c r="N669" s="147">
        <v>306781</v>
      </c>
      <c r="O669" s="147" t="s">
        <v>699</v>
      </c>
      <c r="P669" s="151">
        <f t="shared" si="24"/>
        <v>-4.0438541007800977E-2</v>
      </c>
    </row>
    <row r="670" spans="2:16" ht="14.25" customHeight="1">
      <c r="B670" s="243">
        <v>471.88847260625494</v>
      </c>
      <c r="C670" s="243">
        <v>472.1540481927139</v>
      </c>
      <c r="D670" s="243">
        <v>467.14745658132085</v>
      </c>
      <c r="E670" s="243">
        <v>467.74746068406148</v>
      </c>
      <c r="F670" s="243">
        <v>6282302.3089051498</v>
      </c>
      <c r="G670" s="243" t="s">
        <v>700</v>
      </c>
      <c r="H670" s="151">
        <f t="shared" si="23"/>
        <v>8.8530933254824529E-3</v>
      </c>
      <c r="J670" s="147">
        <v>236.38</v>
      </c>
      <c r="K670" s="147">
        <v>238.54</v>
      </c>
      <c r="L670" s="147">
        <v>232.11500000000001</v>
      </c>
      <c r="M670" s="147">
        <v>237.83</v>
      </c>
      <c r="N670" s="147">
        <v>339845</v>
      </c>
      <c r="O670" s="147" t="s">
        <v>700</v>
      </c>
      <c r="P670" s="151">
        <f t="shared" si="24"/>
        <v>-6.0967918260943499E-3</v>
      </c>
    </row>
    <row r="671" spans="2:16" ht="14.25" customHeight="1">
      <c r="B671" s="243">
        <v>467.80647748105235</v>
      </c>
      <c r="C671" s="243">
        <v>467.94418334069775</v>
      </c>
      <c r="D671" s="243">
        <v>463.56710423054074</v>
      </c>
      <c r="E671" s="243">
        <v>464.46219231823574</v>
      </c>
      <c r="F671" s="243">
        <v>4626053.8341683242</v>
      </c>
      <c r="G671" s="243" t="s">
        <v>701</v>
      </c>
      <c r="H671" s="151">
        <f t="shared" si="23"/>
        <v>7.2003388394747958E-3</v>
      </c>
      <c r="J671" s="147">
        <v>238.96</v>
      </c>
      <c r="K671" s="147">
        <v>240.4</v>
      </c>
      <c r="L671" s="147">
        <v>233.755</v>
      </c>
      <c r="M671" s="147">
        <v>234.92</v>
      </c>
      <c r="N671" s="147">
        <v>384084</v>
      </c>
      <c r="O671" s="147" t="s">
        <v>701</v>
      </c>
      <c r="P671" s="151">
        <f t="shared" si="24"/>
        <v>1.7197343776604868E-2</v>
      </c>
    </row>
    <row r="672" spans="2:16" ht="14.25" customHeight="1">
      <c r="B672" s="243">
        <v>465.1999022806217</v>
      </c>
      <c r="C672" s="243">
        <v>467.49073761715113</v>
      </c>
      <c r="D672" s="243">
        <v>464.75727630319011</v>
      </c>
      <c r="E672" s="243">
        <v>466.1835155638031</v>
      </c>
      <c r="F672" s="243">
        <v>4004729.366056887</v>
      </c>
      <c r="G672" s="243" t="s">
        <v>702</v>
      </c>
      <c r="H672" s="151">
        <f t="shared" si="23"/>
        <v>-2.1099272075114639E-3</v>
      </c>
      <c r="J672" s="147">
        <v>234.36</v>
      </c>
      <c r="K672" s="147">
        <v>235.56</v>
      </c>
      <c r="L672" s="147">
        <v>222.6</v>
      </c>
      <c r="M672" s="147">
        <v>225.14</v>
      </c>
      <c r="N672" s="147">
        <v>360789</v>
      </c>
      <c r="O672" s="147" t="s">
        <v>702</v>
      </c>
      <c r="P672" s="151">
        <f t="shared" si="24"/>
        <v>4.0952296348938599E-2</v>
      </c>
    </row>
    <row r="673" spans="2:16" ht="14.25" customHeight="1">
      <c r="B673" s="243">
        <v>462.30807922806855</v>
      </c>
      <c r="C673" s="243">
        <v>464.05045179789602</v>
      </c>
      <c r="D673" s="243">
        <v>461.03931645409295</v>
      </c>
      <c r="E673" s="243">
        <v>462.70152454134114</v>
      </c>
      <c r="F673" s="243">
        <v>6920491.128366488</v>
      </c>
      <c r="G673" s="243" t="s">
        <v>703</v>
      </c>
      <c r="H673" s="151">
        <f t="shared" si="23"/>
        <v>-8.5032205948010198E-4</v>
      </c>
      <c r="J673" s="147">
        <v>222.15</v>
      </c>
      <c r="K673" s="147">
        <v>231.55</v>
      </c>
      <c r="L673" s="147">
        <v>220.82</v>
      </c>
      <c r="M673" s="147">
        <v>227.61</v>
      </c>
      <c r="N673" s="147">
        <v>790428</v>
      </c>
      <c r="O673" s="147" t="s">
        <v>703</v>
      </c>
      <c r="P673" s="151">
        <f t="shared" si="24"/>
        <v>-2.3988401212600485E-2</v>
      </c>
    </row>
    <row r="674" spans="2:16" ht="14.25" customHeight="1">
      <c r="B674" s="243">
        <v>465.51465853123977</v>
      </c>
      <c r="C674" s="243">
        <v>467.53598382817745</v>
      </c>
      <c r="D674" s="243">
        <v>462.74086907266832</v>
      </c>
      <c r="E674" s="243">
        <v>467.37368763645253</v>
      </c>
      <c r="F674" s="243">
        <v>5238827.1774181742</v>
      </c>
      <c r="G674" s="243" t="s">
        <v>704</v>
      </c>
      <c r="H674" s="151">
        <f t="shared" si="23"/>
        <v>-3.9776075427224722E-3</v>
      </c>
      <c r="J674" s="147">
        <v>229.54</v>
      </c>
      <c r="K674" s="147">
        <v>234.05500000000001</v>
      </c>
      <c r="L674" s="147">
        <v>228.48500000000001</v>
      </c>
      <c r="M674" s="147">
        <v>233.78</v>
      </c>
      <c r="N674" s="147">
        <v>238514</v>
      </c>
      <c r="O674" s="147" t="s">
        <v>704</v>
      </c>
      <c r="P674" s="151">
        <f t="shared" si="24"/>
        <v>-1.8136709727093914E-2</v>
      </c>
    </row>
    <row r="675" spans="2:16" ht="14.25" customHeight="1">
      <c r="B675" s="243">
        <v>466.5376163457484</v>
      </c>
      <c r="C675" s="243">
        <v>467.67860775423878</v>
      </c>
      <c r="D675" s="243">
        <v>465.15072161646265</v>
      </c>
      <c r="E675" s="243">
        <v>467.52122962892975</v>
      </c>
      <c r="F675" s="243">
        <v>3603576.792431822</v>
      </c>
      <c r="G675" s="243" t="s">
        <v>705</v>
      </c>
      <c r="H675" s="151">
        <f t="shared" si="23"/>
        <v>-2.1038900927815574E-3</v>
      </c>
      <c r="J675" s="147">
        <v>233.42</v>
      </c>
      <c r="K675" s="147">
        <v>242.04</v>
      </c>
      <c r="L675" s="147">
        <v>232.85499999999999</v>
      </c>
      <c r="M675" s="147">
        <v>239.26</v>
      </c>
      <c r="N675" s="147">
        <v>348910</v>
      </c>
      <c r="O675" s="147" t="s">
        <v>705</v>
      </c>
      <c r="P675" s="151">
        <f t="shared" si="24"/>
        <v>-2.4408593162250303E-2</v>
      </c>
    </row>
    <row r="676" spans="2:16" ht="14.25" customHeight="1">
      <c r="B676" s="243">
        <v>467.2458179096389</v>
      </c>
      <c r="C676" s="243">
        <v>467.75729681689324</v>
      </c>
      <c r="D676" s="243">
        <v>461.87528938346873</v>
      </c>
      <c r="E676" s="243">
        <v>464.18678059894495</v>
      </c>
      <c r="F676" s="243">
        <v>4891186.4878841415</v>
      </c>
      <c r="G676" s="243" t="s">
        <v>706</v>
      </c>
      <c r="H676" s="151">
        <f t="shared" si="23"/>
        <v>6.5901000169519275E-3</v>
      </c>
      <c r="J676" s="147">
        <v>239.26</v>
      </c>
      <c r="K676" s="147">
        <v>242.81</v>
      </c>
      <c r="L676" s="147">
        <v>237.76</v>
      </c>
      <c r="M676" s="147">
        <v>241.02</v>
      </c>
      <c r="N676" s="147">
        <v>322035</v>
      </c>
      <c r="O676" s="147" t="s">
        <v>706</v>
      </c>
      <c r="P676" s="151">
        <f t="shared" si="24"/>
        <v>-7.3022985644345395E-3</v>
      </c>
    </row>
    <row r="677" spans="2:16" ht="14.25" customHeight="1">
      <c r="B677" s="243">
        <v>462.29824309523673</v>
      </c>
      <c r="C677" s="243">
        <v>462.74578713908426</v>
      </c>
      <c r="D677" s="243">
        <v>459.73101242613342</v>
      </c>
      <c r="E677" s="243">
        <v>461.51135246869165</v>
      </c>
      <c r="F677" s="243">
        <v>5412560.0894497139</v>
      </c>
      <c r="G677" s="243" t="s">
        <v>707</v>
      </c>
      <c r="H677" s="151">
        <f t="shared" si="23"/>
        <v>1.7050298380221207E-3</v>
      </c>
      <c r="J677" s="147">
        <v>241.62</v>
      </c>
      <c r="K677" s="147">
        <v>246.48</v>
      </c>
      <c r="L677" s="147">
        <v>241.17</v>
      </c>
      <c r="M677" s="147">
        <v>243.2</v>
      </c>
      <c r="N677" s="147">
        <v>199700</v>
      </c>
      <c r="O677" s="147" t="s">
        <v>707</v>
      </c>
      <c r="P677" s="151">
        <f t="shared" si="24"/>
        <v>-6.4967105263157299E-3</v>
      </c>
    </row>
    <row r="678" spans="2:16" ht="14.25" customHeight="1">
      <c r="B678" s="243">
        <v>462.68185227567744</v>
      </c>
      <c r="C678" s="243">
        <v>468.49441661130936</v>
      </c>
      <c r="D678" s="243">
        <v>462.1211927042641</v>
      </c>
      <c r="E678" s="243">
        <v>466.00646517283042</v>
      </c>
      <c r="F678" s="243">
        <v>6390341.7201423468</v>
      </c>
      <c r="G678" s="243" t="s">
        <v>708</v>
      </c>
      <c r="H678" s="151">
        <f t="shared" si="23"/>
        <v>-7.1342634611731848E-3</v>
      </c>
      <c r="J678" s="147">
        <v>244.54</v>
      </c>
      <c r="K678" s="147">
        <v>258.39</v>
      </c>
      <c r="L678" s="147">
        <v>244.54</v>
      </c>
      <c r="M678" s="147">
        <v>253.85</v>
      </c>
      <c r="N678" s="147">
        <v>267872</v>
      </c>
      <c r="O678" s="147" t="s">
        <v>708</v>
      </c>
      <c r="P678" s="151">
        <f t="shared" si="24"/>
        <v>-3.6675201890880471E-2</v>
      </c>
    </row>
    <row r="679" spans="2:16" ht="14.25" customHeight="1">
      <c r="B679" s="243">
        <v>465.50482239840795</v>
      </c>
      <c r="C679" s="243">
        <v>466.4195827517666</v>
      </c>
      <c r="D679" s="243">
        <v>463.06546145611816</v>
      </c>
      <c r="E679" s="243">
        <v>463.90153274682234</v>
      </c>
      <c r="F679" s="243">
        <v>7268915.6625406686</v>
      </c>
      <c r="G679" s="243" t="s">
        <v>709</v>
      </c>
      <c r="H679" s="151">
        <f t="shared" si="23"/>
        <v>3.4560990607044317E-3</v>
      </c>
      <c r="J679" s="147">
        <v>252.9</v>
      </c>
      <c r="K679" s="147">
        <v>259.88</v>
      </c>
      <c r="L679" s="147">
        <v>251.65</v>
      </c>
      <c r="M679" s="147">
        <v>251.65</v>
      </c>
      <c r="N679" s="147">
        <v>218376</v>
      </c>
      <c r="O679" s="147" t="s">
        <v>709</v>
      </c>
      <c r="P679" s="151">
        <f t="shared" si="24"/>
        <v>4.9672163719451934E-3</v>
      </c>
    </row>
    <row r="680" spans="2:16" ht="14.25" customHeight="1">
      <c r="B680" s="243">
        <v>460.94085676444649</v>
      </c>
      <c r="C680" s="243">
        <v>462.94742786213646</v>
      </c>
      <c r="D680" s="243">
        <v>459.66206113498242</v>
      </c>
      <c r="E680" s="243">
        <v>461.56053313285071</v>
      </c>
      <c r="F680" s="243">
        <v>5413763.8145520939</v>
      </c>
      <c r="G680" s="243" t="s">
        <v>710</v>
      </c>
      <c r="H680" s="151">
        <f t="shared" si="23"/>
        <v>-1.3425679275438362E-3</v>
      </c>
      <c r="J680" s="147">
        <v>249.45</v>
      </c>
      <c r="K680" s="147">
        <v>261.44</v>
      </c>
      <c r="L680" s="147">
        <v>249.32</v>
      </c>
      <c r="M680" s="147">
        <v>258.95999999999998</v>
      </c>
      <c r="N680" s="147">
        <v>351744</v>
      </c>
      <c r="O680" s="147" t="s">
        <v>710</v>
      </c>
      <c r="P680" s="151">
        <f t="shared" si="24"/>
        <v>-3.6723818350324344E-2</v>
      </c>
    </row>
    <row r="681" spans="2:16" ht="14.25" customHeight="1">
      <c r="B681" s="243">
        <v>458.51133195498852</v>
      </c>
      <c r="C681" s="243">
        <v>461.68840285966428</v>
      </c>
      <c r="D681" s="243">
        <v>456.4555801931395</v>
      </c>
      <c r="E681" s="243">
        <v>461.26544914789633</v>
      </c>
      <c r="F681" s="243">
        <v>4693412.6235755878</v>
      </c>
      <c r="G681" s="243" t="s">
        <v>711</v>
      </c>
      <c r="H681" s="151">
        <f t="shared" si="23"/>
        <v>-5.9707857980595413E-3</v>
      </c>
      <c r="J681" s="147">
        <v>256.49</v>
      </c>
      <c r="K681" s="147">
        <v>257.01</v>
      </c>
      <c r="L681" s="147">
        <v>246.61</v>
      </c>
      <c r="M681" s="147">
        <v>249.15</v>
      </c>
      <c r="N681" s="147">
        <v>335118</v>
      </c>
      <c r="O681" s="147" t="s">
        <v>711</v>
      </c>
      <c r="P681" s="151">
        <f t="shared" si="24"/>
        <v>2.9460164559502289E-2</v>
      </c>
    </row>
    <row r="682" spans="2:16" ht="14.25" customHeight="1">
      <c r="B682" s="243">
        <v>463.1539866516045</v>
      </c>
      <c r="C682" s="243">
        <v>464.85563763150827</v>
      </c>
      <c r="D682" s="243">
        <v>462.88841106514559</v>
      </c>
      <c r="E682" s="243">
        <v>462.89824719797735</v>
      </c>
      <c r="F682" s="243">
        <v>4036385.0995981134</v>
      </c>
      <c r="G682" s="243" t="s">
        <v>712</v>
      </c>
      <c r="H682" s="151">
        <f t="shared" si="23"/>
        <v>5.5247444805672785E-4</v>
      </c>
      <c r="J682" s="147">
        <v>249.51</v>
      </c>
      <c r="K682" s="147">
        <v>252.27</v>
      </c>
      <c r="L682" s="147">
        <v>236.67</v>
      </c>
      <c r="M682" s="147">
        <v>236.67</v>
      </c>
      <c r="N682" s="147">
        <v>389894</v>
      </c>
      <c r="O682" s="147" t="s">
        <v>712</v>
      </c>
      <c r="P682" s="151">
        <f t="shared" si="24"/>
        <v>5.425275700342258E-2</v>
      </c>
    </row>
    <row r="683" spans="2:16" ht="14.25" customHeight="1">
      <c r="B683" s="243">
        <v>463.70481009018607</v>
      </c>
      <c r="C683" s="243">
        <v>464.03923860646773</v>
      </c>
      <c r="D683" s="243">
        <v>459.77035695746065</v>
      </c>
      <c r="E683" s="243">
        <v>460.16380227073319</v>
      </c>
      <c r="F683" s="243">
        <v>4920044.3738901056</v>
      </c>
      <c r="G683" s="243" t="s">
        <v>713</v>
      </c>
      <c r="H683" s="151">
        <f t="shared" si="23"/>
        <v>7.6951029220015954E-3</v>
      </c>
      <c r="J683" s="147">
        <v>236.67</v>
      </c>
      <c r="K683" s="147">
        <v>239.68</v>
      </c>
      <c r="L683" s="147">
        <v>232.53</v>
      </c>
      <c r="M683" s="147">
        <v>234.72</v>
      </c>
      <c r="N683" s="147">
        <v>279120</v>
      </c>
      <c r="O683" s="147" t="s">
        <v>713</v>
      </c>
      <c r="P683" s="151">
        <f t="shared" si="24"/>
        <v>8.3077709611452111E-3</v>
      </c>
    </row>
    <row r="684" spans="2:16" ht="14.25" customHeight="1">
      <c r="B684" s="243">
        <v>459.27855031587001</v>
      </c>
      <c r="C684" s="243">
        <v>460.81298703763292</v>
      </c>
      <c r="D684" s="243">
        <v>456.85886163924386</v>
      </c>
      <c r="E684" s="243">
        <v>459.31789484719724</v>
      </c>
      <c r="F684" s="243">
        <v>7455085.3728639456</v>
      </c>
      <c r="G684" s="243" t="s">
        <v>714</v>
      </c>
      <c r="H684" s="151">
        <f t="shared" si="23"/>
        <v>-8.5658607619332194E-5</v>
      </c>
      <c r="J684" s="147">
        <v>234.92</v>
      </c>
      <c r="K684" s="147">
        <v>235.56</v>
      </c>
      <c r="L684" s="147">
        <v>225.69</v>
      </c>
      <c r="M684" s="147">
        <v>231.3</v>
      </c>
      <c r="N684" s="147">
        <v>575628</v>
      </c>
      <c r="O684" s="147" t="s">
        <v>714</v>
      </c>
      <c r="P684" s="151">
        <f t="shared" si="24"/>
        <v>1.5650670125378241E-2</v>
      </c>
    </row>
    <row r="685" spans="2:16" ht="14.25" customHeight="1">
      <c r="B685" s="243">
        <v>457.58673546879805</v>
      </c>
      <c r="C685" s="243">
        <v>458.1965757043705</v>
      </c>
      <c r="D685" s="243">
        <v>456.50476085729855</v>
      </c>
      <c r="E685" s="243">
        <v>456.8785339049075</v>
      </c>
      <c r="F685" s="243">
        <v>2847259.2307231338</v>
      </c>
      <c r="G685" s="243" t="s">
        <v>715</v>
      </c>
      <c r="H685" s="151">
        <f t="shared" si="23"/>
        <v>1.55008719240457E-3</v>
      </c>
      <c r="J685" s="147">
        <v>230.74</v>
      </c>
      <c r="K685" s="147">
        <v>232.83</v>
      </c>
      <c r="L685" s="147">
        <v>226.17</v>
      </c>
      <c r="M685" s="147">
        <v>232.21</v>
      </c>
      <c r="N685" s="147">
        <v>447655</v>
      </c>
      <c r="O685" s="147" t="s">
        <v>715</v>
      </c>
      <c r="P685" s="151">
        <f t="shared" si="24"/>
        <v>-6.3304767236552761E-3</v>
      </c>
    </row>
    <row r="686" spans="2:16" ht="14.25" customHeight="1">
      <c r="B686" s="243">
        <v>458.29493703268861</v>
      </c>
      <c r="C686" s="243">
        <v>458.48182355649311</v>
      </c>
      <c r="D686" s="243">
        <v>456.30803820066234</v>
      </c>
      <c r="E686" s="243">
        <v>458.0785421103887</v>
      </c>
      <c r="F686" s="243">
        <v>3646700.4475565357</v>
      </c>
      <c r="G686" s="243" t="s">
        <v>716</v>
      </c>
      <c r="H686" s="151">
        <f t="shared" si="23"/>
        <v>4.7239698524825791E-4</v>
      </c>
      <c r="J686" s="147">
        <v>232.32</v>
      </c>
      <c r="K686" s="147">
        <v>234.92</v>
      </c>
      <c r="L686" s="147">
        <v>224.02500000000001</v>
      </c>
      <c r="M686" s="147">
        <v>231.5</v>
      </c>
      <c r="N686" s="147">
        <v>688023</v>
      </c>
      <c r="O686" s="147" t="s">
        <v>716</v>
      </c>
      <c r="P686" s="151">
        <f t="shared" si="24"/>
        <v>3.5421166306695007E-3</v>
      </c>
    </row>
    <row r="687" spans="2:16" ht="14.25" customHeight="1">
      <c r="B687" s="243">
        <v>457.44902960915266</v>
      </c>
      <c r="C687" s="243">
        <v>459.92773508276963</v>
      </c>
      <c r="D687" s="243">
        <v>457.32115988233909</v>
      </c>
      <c r="E687" s="243">
        <v>459.53428976949715</v>
      </c>
      <c r="F687" s="243">
        <v>3508293.4106368246</v>
      </c>
      <c r="G687" s="243" t="s">
        <v>717</v>
      </c>
      <c r="H687" s="151">
        <f t="shared" si="23"/>
        <v>-4.5377683597680463E-3</v>
      </c>
      <c r="J687" s="147">
        <v>231.26</v>
      </c>
      <c r="K687" s="147">
        <v>241.82</v>
      </c>
      <c r="L687" s="147">
        <v>229.27</v>
      </c>
      <c r="M687" s="147">
        <v>237.7</v>
      </c>
      <c r="N687" s="147">
        <v>570332</v>
      </c>
      <c r="O687" s="147" t="s">
        <v>717</v>
      </c>
      <c r="P687" s="151">
        <f t="shared" si="24"/>
        <v>-2.70929743374001E-2</v>
      </c>
    </row>
    <row r="688" spans="2:16" ht="14.25" customHeight="1">
      <c r="B688" s="243">
        <v>459.13100832339273</v>
      </c>
      <c r="C688" s="243">
        <v>461.18676008524181</v>
      </c>
      <c r="D688" s="243">
        <v>458.4530036872959</v>
      </c>
      <c r="E688" s="243">
        <v>460.41954172436033</v>
      </c>
      <c r="F688" s="243">
        <v>4118103.1908178921</v>
      </c>
      <c r="G688" s="243" t="s">
        <v>718</v>
      </c>
      <c r="H688" s="151">
        <f t="shared" si="23"/>
        <v>-2.7986071054711958E-3</v>
      </c>
      <c r="J688" s="147">
        <v>238.37</v>
      </c>
      <c r="K688" s="147">
        <v>250.745</v>
      </c>
      <c r="L688" s="147">
        <v>234.51</v>
      </c>
      <c r="M688" s="147">
        <v>239.24</v>
      </c>
      <c r="N688" s="147">
        <v>1318447</v>
      </c>
      <c r="O688" s="147" t="s">
        <v>718</v>
      </c>
      <c r="P688" s="151">
        <f t="shared" si="24"/>
        <v>-3.6365156328372894E-3</v>
      </c>
    </row>
    <row r="689" spans="2:16" ht="14.25" customHeight="1">
      <c r="B689" s="243">
        <v>458.9244495339247</v>
      </c>
      <c r="C689" s="243">
        <v>459.67199562914249</v>
      </c>
      <c r="D689" s="243">
        <v>454.73917501398802</v>
      </c>
      <c r="E689" s="243">
        <v>455.62934503526719</v>
      </c>
      <c r="F689" s="243">
        <v>4400648.1754699135</v>
      </c>
      <c r="G689" s="243" t="s">
        <v>719</v>
      </c>
      <c r="H689" s="151">
        <f t="shared" si="23"/>
        <v>7.2319848020379052E-3</v>
      </c>
      <c r="J689" s="147">
        <v>262.68</v>
      </c>
      <c r="K689" s="147">
        <v>263.66000000000003</v>
      </c>
      <c r="L689" s="147">
        <v>256.56</v>
      </c>
      <c r="M689" s="147">
        <v>256.94</v>
      </c>
      <c r="N689" s="147">
        <v>475582</v>
      </c>
      <c r="O689" s="147" t="s">
        <v>719</v>
      </c>
      <c r="P689" s="151">
        <f t="shared" si="24"/>
        <v>2.2339845878415199E-2</v>
      </c>
    </row>
    <row r="690" spans="2:16" ht="14.25" customHeight="1">
      <c r="B690" s="243">
        <v>449.48176201538371</v>
      </c>
      <c r="C690" s="243">
        <v>449.62930400786092</v>
      </c>
      <c r="D690" s="243">
        <v>446.16698525106256</v>
      </c>
      <c r="E690" s="243">
        <v>447.85880009813445</v>
      </c>
      <c r="F690" s="243">
        <v>4293433.275261458</v>
      </c>
      <c r="G690" s="243" t="s">
        <v>720</v>
      </c>
      <c r="H690" s="151">
        <f t="shared" si="23"/>
        <v>3.6238250021962681E-3</v>
      </c>
      <c r="J690" s="147">
        <v>258.3</v>
      </c>
      <c r="K690" s="147">
        <v>267.33</v>
      </c>
      <c r="L690" s="147">
        <v>254.91</v>
      </c>
      <c r="M690" s="147">
        <v>266.08999999999997</v>
      </c>
      <c r="N690" s="147">
        <v>485610</v>
      </c>
      <c r="O690" s="147" t="s">
        <v>720</v>
      </c>
      <c r="P690" s="151">
        <f t="shared" si="24"/>
        <v>-2.9275808936825798E-2</v>
      </c>
    </row>
    <row r="691" spans="2:16" ht="14.25" customHeight="1">
      <c r="B691" s="243">
        <v>449.02929990512024</v>
      </c>
      <c r="C691" s="243">
        <v>450.55390049405139</v>
      </c>
      <c r="D691" s="243">
        <v>446.98338427610304</v>
      </c>
      <c r="E691" s="243">
        <v>449.94406025847894</v>
      </c>
      <c r="F691" s="243">
        <v>5395193.508200678</v>
      </c>
      <c r="G691" s="243" t="s">
        <v>721</v>
      </c>
      <c r="H691" s="151">
        <f t="shared" si="23"/>
        <v>-2.0330535152152107E-3</v>
      </c>
      <c r="J691" s="147">
        <v>268.61</v>
      </c>
      <c r="K691" s="147">
        <v>268.8</v>
      </c>
      <c r="L691" s="147">
        <v>263.57499999999999</v>
      </c>
      <c r="M691" s="147">
        <v>266.95</v>
      </c>
      <c r="N691" s="147">
        <v>246965</v>
      </c>
      <c r="O691" s="147" t="s">
        <v>721</v>
      </c>
      <c r="P691" s="151">
        <f t="shared" si="24"/>
        <v>6.2183929574828323E-3</v>
      </c>
    </row>
    <row r="692" spans="2:16" ht="14.25" customHeight="1">
      <c r="B692" s="243">
        <v>451.50800537873727</v>
      </c>
      <c r="C692" s="243">
        <v>454.5768788222631</v>
      </c>
      <c r="D692" s="243">
        <v>450.888329010333</v>
      </c>
      <c r="E692" s="243">
        <v>453.52441260925906</v>
      </c>
      <c r="F692" s="243">
        <v>5619986.1210910352</v>
      </c>
      <c r="G692" s="243" t="s">
        <v>722</v>
      </c>
      <c r="H692" s="151">
        <f t="shared" si="23"/>
        <v>-4.4460831092218989E-3</v>
      </c>
      <c r="J692" s="147">
        <v>270.56</v>
      </c>
      <c r="K692" s="147">
        <v>277.33999999999997</v>
      </c>
      <c r="L692" s="147">
        <v>269.25009999999997</v>
      </c>
      <c r="M692" s="147">
        <v>270.77</v>
      </c>
      <c r="N692" s="147">
        <v>225551</v>
      </c>
      <c r="O692" s="147" t="s">
        <v>722</v>
      </c>
      <c r="P692" s="151">
        <f t="shared" si="24"/>
        <v>-7.7556597850569897E-4</v>
      </c>
    </row>
    <row r="693" spans="2:16" ht="14.25" customHeight="1">
      <c r="B693" s="243">
        <v>453.82933272704526</v>
      </c>
      <c r="C693" s="243">
        <v>453.97687471952253</v>
      </c>
      <c r="D693" s="243">
        <v>450.91783740882846</v>
      </c>
      <c r="E693" s="243">
        <v>451.38013565192369</v>
      </c>
      <c r="F693" s="243">
        <v>5790599.9211174203</v>
      </c>
      <c r="G693" s="243" t="s">
        <v>723</v>
      </c>
      <c r="H693" s="151">
        <f t="shared" si="23"/>
        <v>5.4260187404662208E-3</v>
      </c>
      <c r="J693" s="147">
        <v>273.14999999999998</v>
      </c>
      <c r="K693" s="147">
        <v>274.98</v>
      </c>
      <c r="L693" s="147">
        <v>270.14999999999998</v>
      </c>
      <c r="M693" s="147">
        <v>270.24</v>
      </c>
      <c r="N693" s="147">
        <v>237699</v>
      </c>
      <c r="O693" s="147" t="s">
        <v>723</v>
      </c>
      <c r="P693" s="151">
        <f t="shared" si="24"/>
        <v>1.0768206039076356E-2</v>
      </c>
    </row>
    <row r="694" spans="2:16" ht="14.25" customHeight="1">
      <c r="B694" s="243">
        <v>450.78013154918312</v>
      </c>
      <c r="C694" s="243">
        <v>451.15390459679202</v>
      </c>
      <c r="D694" s="243">
        <v>446.95387587760757</v>
      </c>
      <c r="E694" s="243">
        <v>449.09323476852705</v>
      </c>
      <c r="F694" s="243">
        <v>5717703.3862433787</v>
      </c>
      <c r="G694" s="243" t="s">
        <v>724</v>
      </c>
      <c r="H694" s="151">
        <f t="shared" si="23"/>
        <v>3.7562284400154411E-3</v>
      </c>
      <c r="J694" s="147">
        <v>268.31</v>
      </c>
      <c r="K694" s="147">
        <v>268.56</v>
      </c>
      <c r="L694" s="147">
        <v>261.77499999999998</v>
      </c>
      <c r="M694" s="147">
        <v>267.38</v>
      </c>
      <c r="N694" s="147">
        <v>178353</v>
      </c>
      <c r="O694" s="147" t="s">
        <v>724</v>
      </c>
      <c r="P694" s="151">
        <f t="shared" si="24"/>
        <v>3.4781958261649315E-3</v>
      </c>
    </row>
    <row r="695" spans="2:16" ht="14.25" customHeight="1">
      <c r="B695" s="243">
        <v>446.53092216583963</v>
      </c>
      <c r="C695" s="243">
        <v>448.23257314574334</v>
      </c>
      <c r="D695" s="243">
        <v>443.60467264837507</v>
      </c>
      <c r="E695" s="243">
        <v>447.03256494026215</v>
      </c>
      <c r="F695" s="243">
        <v>8288056.0270930398</v>
      </c>
      <c r="G695" s="243" t="s">
        <v>725</v>
      </c>
      <c r="H695" s="151">
        <f t="shared" si="23"/>
        <v>-1.1221615912692107E-3</v>
      </c>
      <c r="J695" s="147">
        <v>264.75</v>
      </c>
      <c r="K695" s="147">
        <v>270.57</v>
      </c>
      <c r="L695" s="147">
        <v>261.41000000000003</v>
      </c>
      <c r="M695" s="147">
        <v>262.43</v>
      </c>
      <c r="N695" s="147">
        <v>192327</v>
      </c>
      <c r="O695" s="147" t="s">
        <v>725</v>
      </c>
      <c r="P695" s="151">
        <f t="shared" si="24"/>
        <v>8.8404526921463944E-3</v>
      </c>
    </row>
    <row r="696" spans="2:16" ht="14.25" customHeight="1">
      <c r="B696" s="243">
        <v>452.91457237368661</v>
      </c>
      <c r="C696" s="243">
        <v>455.15721065934014</v>
      </c>
      <c r="D696" s="243">
        <v>452.21620694262788</v>
      </c>
      <c r="E696" s="243">
        <v>453.06211436616383</v>
      </c>
      <c r="F696" s="243">
        <v>4640271.8202804755</v>
      </c>
      <c r="G696" s="243" t="s">
        <v>726</v>
      </c>
      <c r="H696" s="151">
        <f t="shared" si="23"/>
        <v>-3.2565510952864418E-4</v>
      </c>
      <c r="J696" s="147">
        <v>270.01</v>
      </c>
      <c r="K696" s="147">
        <v>272.92</v>
      </c>
      <c r="L696" s="147">
        <v>267.7</v>
      </c>
      <c r="M696" s="147">
        <v>272.29000000000002</v>
      </c>
      <c r="N696" s="147">
        <v>153008</v>
      </c>
      <c r="O696" s="147" t="s">
        <v>726</v>
      </c>
      <c r="P696" s="151">
        <f t="shared" si="24"/>
        <v>-8.3734253920453305E-3</v>
      </c>
    </row>
    <row r="697" spans="2:16" ht="14.25" customHeight="1">
      <c r="B697" s="243">
        <v>453.1211311631547</v>
      </c>
      <c r="C697" s="243">
        <v>453.47523194509995</v>
      </c>
      <c r="D697" s="243">
        <v>450.66209795520132</v>
      </c>
      <c r="E697" s="243">
        <v>451.02603486997845</v>
      </c>
      <c r="F697" s="243">
        <v>4069276.0746928803</v>
      </c>
      <c r="G697" s="243" t="s">
        <v>727</v>
      </c>
      <c r="H697" s="151">
        <f t="shared" si="23"/>
        <v>4.6451781742049558E-3</v>
      </c>
      <c r="J697" s="147">
        <v>273.04000000000002</v>
      </c>
      <c r="K697" s="147">
        <v>273.27999999999997</v>
      </c>
      <c r="L697" s="147">
        <v>267.41000000000003</v>
      </c>
      <c r="M697" s="147">
        <v>272.87</v>
      </c>
      <c r="N697" s="147">
        <v>231298</v>
      </c>
      <c r="O697" s="147" t="s">
        <v>727</v>
      </c>
      <c r="P697" s="151">
        <f t="shared" si="24"/>
        <v>6.2300729285014178E-4</v>
      </c>
    </row>
    <row r="698" spans="2:16" ht="14.25" customHeight="1">
      <c r="B698" s="243">
        <v>450.56373662688316</v>
      </c>
      <c r="C698" s="243">
        <v>450.8194760805103</v>
      </c>
      <c r="D698" s="243">
        <v>449.54077881237453</v>
      </c>
      <c r="E698" s="243">
        <v>450.30799717325601</v>
      </c>
      <c r="F698" s="243">
        <v>4254306.1094758129</v>
      </c>
      <c r="G698" s="243" t="s">
        <v>728</v>
      </c>
      <c r="H698" s="151">
        <f t="shared" si="23"/>
        <v>5.6792119001336516E-4</v>
      </c>
      <c r="J698" s="147">
        <v>272.33999999999997</v>
      </c>
      <c r="K698" s="147">
        <v>272.52999999999997</v>
      </c>
      <c r="L698" s="147">
        <v>262.45</v>
      </c>
      <c r="M698" s="147">
        <v>262.61</v>
      </c>
      <c r="N698" s="147">
        <v>333172</v>
      </c>
      <c r="O698" s="147" t="s">
        <v>728</v>
      </c>
      <c r="P698" s="151">
        <f t="shared" si="24"/>
        <v>3.7051140474467781E-2</v>
      </c>
    </row>
    <row r="699" spans="2:16" ht="14.25" customHeight="1">
      <c r="B699" s="243">
        <v>450.25881650909696</v>
      </c>
      <c r="C699" s="243">
        <v>450.67193408803314</v>
      </c>
      <c r="D699" s="243">
        <v>447.80961943397534</v>
      </c>
      <c r="E699" s="243">
        <v>448.67519912317493</v>
      </c>
      <c r="F699" s="243">
        <v>6876091.5652996404</v>
      </c>
      <c r="G699" s="243" t="s">
        <v>729</v>
      </c>
      <c r="H699" s="151">
        <f t="shared" si="23"/>
        <v>3.5295407212541097E-3</v>
      </c>
      <c r="J699" s="147">
        <v>265.06</v>
      </c>
      <c r="K699" s="147">
        <v>265.86500000000001</v>
      </c>
      <c r="L699" s="147">
        <v>257.95999999999998</v>
      </c>
      <c r="M699" s="147">
        <v>259.49</v>
      </c>
      <c r="N699" s="147">
        <v>224729</v>
      </c>
      <c r="O699" s="147" t="s">
        <v>729</v>
      </c>
      <c r="P699" s="151">
        <f t="shared" si="24"/>
        <v>2.1465181702570391E-2</v>
      </c>
    </row>
    <row r="700" spans="2:16" ht="14.25" customHeight="1">
      <c r="B700" s="243">
        <v>446.5899389628305</v>
      </c>
      <c r="C700" s="243">
        <v>446.8456784164577</v>
      </c>
      <c r="D700" s="243">
        <v>444.79976278744044</v>
      </c>
      <c r="E700" s="243">
        <v>446.14731298539886</v>
      </c>
      <c r="F700" s="243">
        <v>4456630.5426680259</v>
      </c>
      <c r="G700" s="243" t="s">
        <v>730</v>
      </c>
      <c r="H700" s="151">
        <f t="shared" si="23"/>
        <v>9.9210723576881321E-4</v>
      </c>
      <c r="J700" s="147">
        <v>258.60000000000002</v>
      </c>
      <c r="K700" s="147">
        <v>260.01499999999999</v>
      </c>
      <c r="L700" s="147">
        <v>254.21</v>
      </c>
      <c r="M700" s="147">
        <v>255.98</v>
      </c>
      <c r="N700" s="147">
        <v>280587</v>
      </c>
      <c r="O700" s="147" t="s">
        <v>730</v>
      </c>
      <c r="P700" s="151">
        <f t="shared" si="24"/>
        <v>1.0235174623017596E-2</v>
      </c>
    </row>
    <row r="701" spans="2:16" ht="14.25" customHeight="1">
      <c r="B701" s="243">
        <v>445.2030442335448</v>
      </c>
      <c r="C701" s="243">
        <v>446.70797255681225</v>
      </c>
      <c r="D701" s="243">
        <v>443.1571286045276</v>
      </c>
      <c r="E701" s="243">
        <v>446.29485497787613</v>
      </c>
      <c r="F701" s="243">
        <v>7220171.9125122745</v>
      </c>
      <c r="G701" s="243" t="s">
        <v>731</v>
      </c>
      <c r="H701" s="151">
        <f t="shared" si="23"/>
        <v>-2.4463888215459084E-3</v>
      </c>
      <c r="J701" s="147">
        <v>255.03</v>
      </c>
      <c r="K701" s="147">
        <v>255.37</v>
      </c>
      <c r="L701" s="147">
        <v>249.25</v>
      </c>
      <c r="M701" s="147">
        <v>250.88</v>
      </c>
      <c r="N701" s="147">
        <v>144506</v>
      </c>
      <c r="O701" s="147" t="s">
        <v>731</v>
      </c>
      <c r="P701" s="151">
        <f t="shared" si="24"/>
        <v>1.6541772959183687E-2</v>
      </c>
    </row>
    <row r="702" spans="2:16" ht="14.25" customHeight="1">
      <c r="B702" s="243">
        <v>446.83584228362582</v>
      </c>
      <c r="C702" s="243">
        <v>448.40962353671603</v>
      </c>
      <c r="D702" s="243">
        <v>442.32105731382342</v>
      </c>
      <c r="E702" s="243">
        <v>442.63581356444143</v>
      </c>
      <c r="F702" s="243">
        <v>6357663.2269279826</v>
      </c>
      <c r="G702" s="243" t="s">
        <v>732</v>
      </c>
      <c r="H702" s="151">
        <f t="shared" si="23"/>
        <v>9.488678029377029E-3</v>
      </c>
      <c r="J702" s="147">
        <v>252.01</v>
      </c>
      <c r="K702" s="147">
        <v>253.84</v>
      </c>
      <c r="L702" s="147">
        <v>250.92</v>
      </c>
      <c r="M702" s="147">
        <v>253.72</v>
      </c>
      <c r="N702" s="147">
        <v>130189</v>
      </c>
      <c r="O702" s="147" t="s">
        <v>732</v>
      </c>
      <c r="P702" s="151">
        <f t="shared" si="24"/>
        <v>-6.739713069525477E-3</v>
      </c>
    </row>
    <row r="703" spans="2:16" ht="14.25" customHeight="1">
      <c r="B703" s="243">
        <v>442.29154891532801</v>
      </c>
      <c r="C703" s="243">
        <v>442.29154891532801</v>
      </c>
      <c r="D703" s="243">
        <v>437.36384308924602</v>
      </c>
      <c r="E703" s="243">
        <v>438.05217566481639</v>
      </c>
      <c r="F703" s="243">
        <v>6240623.3272352358</v>
      </c>
      <c r="G703" s="243" t="s">
        <v>733</v>
      </c>
      <c r="H703" s="151">
        <f t="shared" si="23"/>
        <v>9.6777815201527506E-3</v>
      </c>
      <c r="J703" s="147">
        <v>254.36</v>
      </c>
      <c r="K703" s="147">
        <v>254.55</v>
      </c>
      <c r="L703" s="147">
        <v>247.80500000000001</v>
      </c>
      <c r="M703" s="147">
        <v>253</v>
      </c>
      <c r="N703" s="147">
        <v>258452</v>
      </c>
      <c r="O703" s="147" t="s">
        <v>733</v>
      </c>
      <c r="P703" s="151">
        <f t="shared" si="24"/>
        <v>5.3754940711463473E-3</v>
      </c>
    </row>
    <row r="704" spans="2:16" ht="14.25" customHeight="1">
      <c r="B704" s="243">
        <v>436.54724734154888</v>
      </c>
      <c r="C704" s="243">
        <v>442.09974432510762</v>
      </c>
      <c r="D704" s="243">
        <v>436.47839441172619</v>
      </c>
      <c r="E704" s="243">
        <v>441.68170867975556</v>
      </c>
      <c r="F704" s="243">
        <v>7226460.9695083257</v>
      </c>
      <c r="G704" s="243" t="s">
        <v>734</v>
      </c>
      <c r="H704" s="151">
        <f t="shared" si="23"/>
        <v>-1.1624799572421129E-2</v>
      </c>
      <c r="J704" s="147">
        <v>252.19</v>
      </c>
      <c r="K704" s="147">
        <v>258.435</v>
      </c>
      <c r="L704" s="147">
        <v>251.51</v>
      </c>
      <c r="M704" s="147">
        <v>251.96</v>
      </c>
      <c r="N704" s="147">
        <v>272845</v>
      </c>
      <c r="O704" s="147" t="s">
        <v>734</v>
      </c>
      <c r="P704" s="151">
        <f t="shared" si="24"/>
        <v>9.1284330846153061E-4</v>
      </c>
    </row>
    <row r="705" spans="2:16" ht="14.25" customHeight="1">
      <c r="B705" s="243">
        <v>443.77680497293187</v>
      </c>
      <c r="C705" s="243">
        <v>444.40631747416791</v>
      </c>
      <c r="D705" s="243">
        <v>443.05876727620944</v>
      </c>
      <c r="E705" s="243">
        <v>443.45221258948197</v>
      </c>
      <c r="F705" s="243">
        <v>3466761.8446255634</v>
      </c>
      <c r="G705" s="243" t="s">
        <v>735</v>
      </c>
      <c r="H705" s="151">
        <f t="shared" si="23"/>
        <v>7.3196699494282313E-4</v>
      </c>
      <c r="J705" s="147">
        <v>250.06</v>
      </c>
      <c r="K705" s="147">
        <v>254.93</v>
      </c>
      <c r="L705" s="147">
        <v>248.83</v>
      </c>
      <c r="M705" s="147">
        <v>254.93</v>
      </c>
      <c r="N705" s="147">
        <v>122952</v>
      </c>
      <c r="O705" s="147" t="s">
        <v>735</v>
      </c>
      <c r="P705" s="151">
        <f t="shared" si="24"/>
        <v>-1.9103283254226722E-2</v>
      </c>
    </row>
    <row r="706" spans="2:16" ht="14.25" customHeight="1">
      <c r="B706" s="243">
        <v>444.09156122354989</v>
      </c>
      <c r="C706" s="243">
        <v>444.20939809487498</v>
      </c>
      <c r="D706" s="243">
        <v>440.37468334906418</v>
      </c>
      <c r="E706" s="243">
        <v>440.88498192037866</v>
      </c>
      <c r="F706" s="243">
        <v>4618941.2828032468</v>
      </c>
      <c r="G706" s="243" t="s">
        <v>736</v>
      </c>
      <c r="H706" s="151">
        <f t="shared" si="23"/>
        <v>7.2730517814514339E-3</v>
      </c>
      <c r="J706" s="147">
        <v>255.72</v>
      </c>
      <c r="K706" s="147">
        <v>255.88</v>
      </c>
      <c r="L706" s="147">
        <v>250.05</v>
      </c>
      <c r="M706" s="147">
        <v>251.09</v>
      </c>
      <c r="N706" s="147">
        <v>183202</v>
      </c>
      <c r="O706" s="147" t="s">
        <v>736</v>
      </c>
      <c r="P706" s="151">
        <f t="shared" si="24"/>
        <v>1.8439603329483356E-2</v>
      </c>
    </row>
    <row r="707" spans="2:16" ht="14.25" customHeight="1">
      <c r="B707" s="243">
        <v>440.88498192037866</v>
      </c>
      <c r="C707" s="243">
        <v>442.14400692285079</v>
      </c>
      <c r="D707" s="243">
        <v>439.83251570737463</v>
      </c>
      <c r="E707" s="243">
        <v>440.75711219356509</v>
      </c>
      <c r="F707" s="243">
        <v>6510712.1970609371</v>
      </c>
      <c r="G707" s="243" t="s">
        <v>737</v>
      </c>
      <c r="H707" s="151">
        <f t="shared" si="23"/>
        <v>2.9011381388088786E-4</v>
      </c>
      <c r="J707" s="147">
        <v>252.37</v>
      </c>
      <c r="K707" s="147">
        <v>253.05</v>
      </c>
      <c r="L707" s="147">
        <v>247.9</v>
      </c>
      <c r="M707" s="147">
        <v>251.52</v>
      </c>
      <c r="N707" s="147">
        <v>250879</v>
      </c>
      <c r="O707" s="147" t="s">
        <v>737</v>
      </c>
      <c r="P707" s="151">
        <f t="shared" si="24"/>
        <v>3.3794529262085593E-3</v>
      </c>
    </row>
    <row r="708" spans="2:16" ht="14.25" customHeight="1">
      <c r="B708" s="243">
        <v>441.15055750683763</v>
      </c>
      <c r="C708" s="243">
        <v>441.40629696046477</v>
      </c>
      <c r="D708" s="243">
        <v>438.79972176003417</v>
      </c>
      <c r="E708" s="243">
        <v>440.79645672489232</v>
      </c>
      <c r="F708" s="243">
        <v>4236476.9480565209</v>
      </c>
      <c r="G708" s="243" t="s">
        <v>738</v>
      </c>
      <c r="H708" s="151">
        <f t="shared" si="23"/>
        <v>8.033203909492137E-4</v>
      </c>
      <c r="J708" s="147">
        <v>250.59</v>
      </c>
      <c r="K708" s="147">
        <v>250.76</v>
      </c>
      <c r="L708" s="147">
        <v>246.12</v>
      </c>
      <c r="M708" s="147">
        <v>250.67</v>
      </c>
      <c r="N708" s="147">
        <v>262375</v>
      </c>
      <c r="O708" s="147" t="s">
        <v>738</v>
      </c>
      <c r="P708" s="151">
        <f t="shared" si="24"/>
        <v>-3.1914469222482644E-4</v>
      </c>
    </row>
    <row r="709" spans="2:16" ht="14.25" customHeight="1">
      <c r="B709" s="243">
        <v>438.68168816605242</v>
      </c>
      <c r="C709" s="243">
        <v>441.82885722691947</v>
      </c>
      <c r="D709" s="243">
        <v>438.44562097808887</v>
      </c>
      <c r="E709" s="243">
        <v>440.97350711586495</v>
      </c>
      <c r="F709" s="243">
        <v>4644308.9760081377</v>
      </c>
      <c r="G709" s="243" t="s">
        <v>739</v>
      </c>
      <c r="H709" s="151">
        <f t="shared" si="23"/>
        <v>-5.1971805852961683E-3</v>
      </c>
      <c r="J709" s="147">
        <v>246.69</v>
      </c>
      <c r="K709" s="147">
        <v>255.76499999999999</v>
      </c>
      <c r="L709" s="147">
        <v>246.66</v>
      </c>
      <c r="M709" s="147">
        <v>254.79</v>
      </c>
      <c r="N709" s="147">
        <v>153426</v>
      </c>
      <c r="O709" s="147" t="s">
        <v>739</v>
      </c>
      <c r="P709" s="151">
        <f t="shared" si="24"/>
        <v>-3.1790886612504399E-2</v>
      </c>
    </row>
    <row r="710" spans="2:16" ht="14.25" customHeight="1">
      <c r="B710" s="243">
        <v>438.3177512512753</v>
      </c>
      <c r="C710" s="243">
        <v>438.51447390791157</v>
      </c>
      <c r="D710" s="243">
        <v>436.50790281022159</v>
      </c>
      <c r="E710" s="243">
        <v>437.54069675756205</v>
      </c>
      <c r="F710" s="243">
        <v>3305756.4955642079</v>
      </c>
      <c r="G710" s="243" t="s">
        <v>740</v>
      </c>
      <c r="H710" s="151">
        <f t="shared" si="23"/>
        <v>1.7759593552593156E-3</v>
      </c>
      <c r="J710" s="147">
        <v>252.97</v>
      </c>
      <c r="K710" s="147">
        <v>254.95</v>
      </c>
      <c r="L710" s="147">
        <v>241.87</v>
      </c>
      <c r="M710" s="147">
        <v>254.95</v>
      </c>
      <c r="N710" s="147">
        <v>389490</v>
      </c>
      <c r="O710" s="147" t="s">
        <v>740</v>
      </c>
      <c r="P710" s="151">
        <f t="shared" si="24"/>
        <v>-7.7662286722885998E-3</v>
      </c>
    </row>
    <row r="711" spans="2:16" ht="14.25" customHeight="1">
      <c r="B711" s="243">
        <v>437.01938171747594</v>
      </c>
      <c r="C711" s="243">
        <v>438.61283523622973</v>
      </c>
      <c r="D711" s="243">
        <v>436.40954148190349</v>
      </c>
      <c r="E711" s="243">
        <v>437.48167996057117</v>
      </c>
      <c r="F711" s="243">
        <v>5968211.3899611058</v>
      </c>
      <c r="G711" s="243" t="s">
        <v>741</v>
      </c>
      <c r="H711" s="151">
        <f t="shared" si="23"/>
        <v>-1.0567259482429092E-3</v>
      </c>
      <c r="J711" s="147">
        <v>252.74</v>
      </c>
      <c r="K711" s="147">
        <v>258.14999999999998</v>
      </c>
      <c r="L711" s="147">
        <v>248.94</v>
      </c>
      <c r="M711" s="147">
        <v>251.63</v>
      </c>
      <c r="N711" s="147">
        <v>195967</v>
      </c>
      <c r="O711" s="147" t="s">
        <v>741</v>
      </c>
      <c r="P711" s="151">
        <f t="shared" si="24"/>
        <v>4.4112387235226702E-3</v>
      </c>
    </row>
    <row r="712" spans="2:16" ht="14.25" customHeight="1">
      <c r="B712" s="243">
        <v>436.02593230146277</v>
      </c>
      <c r="C712" s="243">
        <v>436.34068855208079</v>
      </c>
      <c r="D712" s="243">
        <v>431.1275381512196</v>
      </c>
      <c r="E712" s="243">
        <v>431.80623131661474</v>
      </c>
      <c r="F712" s="243">
        <v>4917381.7420969186</v>
      </c>
      <c r="G712" s="243" t="s">
        <v>742</v>
      </c>
      <c r="H712" s="151">
        <f t="shared" si="23"/>
        <v>9.7722095671981535E-3</v>
      </c>
      <c r="J712" s="147">
        <v>250.31</v>
      </c>
      <c r="K712" s="147">
        <v>256.75</v>
      </c>
      <c r="L712" s="147">
        <v>248.68</v>
      </c>
      <c r="M712" s="147">
        <v>256.75</v>
      </c>
      <c r="N712" s="147">
        <v>230842</v>
      </c>
      <c r="O712" s="147" t="s">
        <v>742</v>
      </c>
      <c r="P712" s="151">
        <f t="shared" si="24"/>
        <v>-2.5082765335929902E-2</v>
      </c>
    </row>
    <row r="713" spans="2:16" ht="14.25" customHeight="1">
      <c r="B713" s="243">
        <v>430.7537651036107</v>
      </c>
      <c r="C713" s="243">
        <v>431.20622721387412</v>
      </c>
      <c r="D713" s="243">
        <v>427.04554302601701</v>
      </c>
      <c r="E713" s="243">
        <v>428.44227388813448</v>
      </c>
      <c r="F713" s="243">
        <v>4403442.9730260307</v>
      </c>
      <c r="G713" s="243" t="s">
        <v>743</v>
      </c>
      <c r="H713" s="151">
        <f t="shared" si="23"/>
        <v>5.395105376739151E-3</v>
      </c>
      <c r="J713" s="147">
        <v>255.82</v>
      </c>
      <c r="K713" s="147">
        <v>260.86</v>
      </c>
      <c r="L713" s="147">
        <v>252.345</v>
      </c>
      <c r="M713" s="147">
        <v>260.86</v>
      </c>
      <c r="N713" s="147">
        <v>222115</v>
      </c>
      <c r="O713" s="147" t="s">
        <v>743</v>
      </c>
      <c r="P713" s="151">
        <f t="shared" si="24"/>
        <v>-1.9320708425975663E-2</v>
      </c>
    </row>
    <row r="714" spans="2:16" ht="14.25" customHeight="1">
      <c r="B714" s="243">
        <v>426.95701783053067</v>
      </c>
      <c r="C714" s="243">
        <v>427.36029927663503</v>
      </c>
      <c r="D714" s="243">
        <v>424.73405181054079</v>
      </c>
      <c r="E714" s="243">
        <v>426.49471958743544</v>
      </c>
      <c r="F714" s="243">
        <v>6145312.4956279369</v>
      </c>
      <c r="G714" s="243" t="s">
        <v>744</v>
      </c>
      <c r="H714" s="151">
        <f t="shared" ref="H714:H777" si="25">B714/E714-1</f>
        <v>1.0839483394833316E-3</v>
      </c>
      <c r="J714" s="147">
        <v>257.23</v>
      </c>
      <c r="K714" s="147">
        <v>260.39999999999998</v>
      </c>
      <c r="L714" s="147">
        <v>253.81</v>
      </c>
      <c r="M714" s="147">
        <v>259</v>
      </c>
      <c r="N714" s="147">
        <v>191100</v>
      </c>
      <c r="O714" s="147" t="s">
        <v>744</v>
      </c>
      <c r="P714" s="151">
        <f t="shared" ref="P714:P777" si="26">J714/M714-1</f>
        <v>-6.8339768339767959E-3</v>
      </c>
    </row>
    <row r="715" spans="2:16" ht="14.25" customHeight="1">
      <c r="B715" s="243">
        <v>429.34719810866136</v>
      </c>
      <c r="C715" s="243">
        <v>430.80294576776976</v>
      </c>
      <c r="D715" s="243">
        <v>427.61603873026218</v>
      </c>
      <c r="E715" s="243">
        <v>429.63244596078397</v>
      </c>
      <c r="F715" s="243">
        <v>5826313.1435806062</v>
      </c>
      <c r="G715" s="243" t="s">
        <v>745</v>
      </c>
      <c r="H715" s="151">
        <f t="shared" si="25"/>
        <v>-6.6393461388769559E-4</v>
      </c>
      <c r="J715" s="147">
        <v>263.06</v>
      </c>
      <c r="K715" s="147">
        <v>266.33999999999997</v>
      </c>
      <c r="L715" s="147">
        <v>252.73</v>
      </c>
      <c r="M715" s="147">
        <v>254.88</v>
      </c>
      <c r="N715" s="147">
        <v>441843</v>
      </c>
      <c r="O715" s="147" t="s">
        <v>745</v>
      </c>
      <c r="P715" s="151">
        <f t="shared" si="26"/>
        <v>3.2093534212178199E-2</v>
      </c>
    </row>
    <row r="716" spans="2:16" ht="14.25" customHeight="1">
      <c r="B716" s="243">
        <v>430.81278190060158</v>
      </c>
      <c r="C716" s="243">
        <v>432.59312194315982</v>
      </c>
      <c r="D716" s="243">
        <v>429.57342916379309</v>
      </c>
      <c r="E716" s="243">
        <v>431.91442877776473</v>
      </c>
      <c r="F716" s="243">
        <v>5269010.787692301</v>
      </c>
      <c r="G716" s="243" t="s">
        <v>746</v>
      </c>
      <c r="H716" s="151">
        <f t="shared" si="25"/>
        <v>-2.5506137414316177E-3</v>
      </c>
      <c r="J716" s="147">
        <v>258.39</v>
      </c>
      <c r="K716" s="147">
        <v>262.52999999999997</v>
      </c>
      <c r="L716" s="147">
        <v>255.95500000000001</v>
      </c>
      <c r="M716" s="147">
        <v>258.92</v>
      </c>
      <c r="N716" s="147">
        <v>448819</v>
      </c>
      <c r="O716" s="147" t="s">
        <v>746</v>
      </c>
      <c r="P716" s="151">
        <f t="shared" si="26"/>
        <v>-2.0469643133015358E-3</v>
      </c>
    </row>
    <row r="717" spans="2:16" ht="14.25" customHeight="1">
      <c r="B717" s="243">
        <v>430.61605924396531</v>
      </c>
      <c r="C717" s="243">
        <v>432.15541403214417</v>
      </c>
      <c r="D717" s="243">
        <v>426.88816490070798</v>
      </c>
      <c r="E717" s="243">
        <v>431.74721451962387</v>
      </c>
      <c r="F717" s="243">
        <v>4876496.7716643009</v>
      </c>
      <c r="G717" s="243" t="s">
        <v>747</v>
      </c>
      <c r="H717" s="151">
        <f t="shared" si="25"/>
        <v>-2.6199480566819755E-3</v>
      </c>
      <c r="J717" s="147">
        <v>258.14999999999998</v>
      </c>
      <c r="K717" s="147">
        <v>258.77</v>
      </c>
      <c r="L717" s="147">
        <v>247.89</v>
      </c>
      <c r="M717" s="147">
        <v>251.55</v>
      </c>
      <c r="N717" s="147">
        <v>385154</v>
      </c>
      <c r="O717" s="147" t="s">
        <v>747</v>
      </c>
      <c r="P717" s="151">
        <f t="shared" si="26"/>
        <v>2.6237328562909834E-2</v>
      </c>
    </row>
    <row r="718" spans="2:16" ht="14.25" customHeight="1">
      <c r="B718" s="243">
        <v>430.76360123644253</v>
      </c>
      <c r="C718" s="243">
        <v>431.54557379657172</v>
      </c>
      <c r="D718" s="243">
        <v>428.34391255981637</v>
      </c>
      <c r="E718" s="243">
        <v>428.62916041193893</v>
      </c>
      <c r="F718" s="243">
        <v>4350125.2709405348</v>
      </c>
      <c r="G718" s="243" t="s">
        <v>748</v>
      </c>
      <c r="H718" s="151">
        <f t="shared" si="25"/>
        <v>4.9796911214632367E-3</v>
      </c>
      <c r="J718" s="147">
        <v>249.86</v>
      </c>
      <c r="K718" s="147">
        <v>251.96</v>
      </c>
      <c r="L718" s="147">
        <v>244.86</v>
      </c>
      <c r="M718" s="147">
        <v>246.13</v>
      </c>
      <c r="N718" s="147">
        <v>331665</v>
      </c>
      <c r="O718" s="147" t="s">
        <v>748</v>
      </c>
      <c r="P718" s="151">
        <f t="shared" si="26"/>
        <v>1.5154593101206704E-2</v>
      </c>
    </row>
    <row r="719" spans="2:16" ht="14.25" customHeight="1">
      <c r="B719" s="243">
        <v>427.94063111371202</v>
      </c>
      <c r="C719" s="243">
        <v>429.27834517883866</v>
      </c>
      <c r="D719" s="243">
        <v>426.06517566667014</v>
      </c>
      <c r="E719" s="243">
        <v>426.51439185309908</v>
      </c>
      <c r="F719" s="243">
        <v>8071837.922237711</v>
      </c>
      <c r="G719" s="243" t="s">
        <v>749</v>
      </c>
      <c r="H719" s="151">
        <f t="shared" si="25"/>
        <v>3.3439417001059901E-3</v>
      </c>
      <c r="J719" s="147">
        <v>245.08</v>
      </c>
      <c r="K719" s="147">
        <v>252.76</v>
      </c>
      <c r="L719" s="147">
        <v>242.53</v>
      </c>
      <c r="M719" s="147">
        <v>244.43</v>
      </c>
      <c r="N719" s="147">
        <v>363339</v>
      </c>
      <c r="O719" s="147" t="s">
        <v>749</v>
      </c>
      <c r="P719" s="151">
        <f t="shared" si="26"/>
        <v>2.6592480464755486E-3</v>
      </c>
    </row>
    <row r="720" spans="2:16" ht="14.25" customHeight="1">
      <c r="B720" s="243">
        <v>428.98326119388423</v>
      </c>
      <c r="C720" s="243">
        <v>429.12096705352963</v>
      </c>
      <c r="D720" s="243">
        <v>423.31764868275968</v>
      </c>
      <c r="E720" s="243">
        <v>423.39633774541414</v>
      </c>
      <c r="F720" s="243">
        <v>7342684.4914500499</v>
      </c>
      <c r="G720" s="243" t="s">
        <v>750</v>
      </c>
      <c r="H720" s="151">
        <f t="shared" si="25"/>
        <v>1.3195493088628218E-2</v>
      </c>
      <c r="J720" s="147">
        <v>247.32</v>
      </c>
      <c r="K720" s="147">
        <v>249.285</v>
      </c>
      <c r="L720" s="147">
        <v>231.89</v>
      </c>
      <c r="M720" s="147">
        <v>233.78</v>
      </c>
      <c r="N720" s="147">
        <v>370806</v>
      </c>
      <c r="O720" s="147" t="s">
        <v>750</v>
      </c>
      <c r="P720" s="151">
        <f t="shared" si="26"/>
        <v>5.7917700402087435E-2</v>
      </c>
    </row>
    <row r="721" spans="2:16" ht="14.25" customHeight="1">
      <c r="B721" s="243">
        <v>422.93403950231897</v>
      </c>
      <c r="C721" s="243">
        <v>425.21602231929967</v>
      </c>
      <c r="D721" s="243">
        <v>421.61599770285591</v>
      </c>
      <c r="E721" s="243">
        <v>422.5504303218782</v>
      </c>
      <c r="F721" s="243">
        <v>5819978.3368973872</v>
      </c>
      <c r="G721" s="243" t="s">
        <v>751</v>
      </c>
      <c r="H721" s="151">
        <f t="shared" si="25"/>
        <v>9.0784236132135376E-4</v>
      </c>
      <c r="J721" s="147">
        <v>231.81</v>
      </c>
      <c r="K721" s="147">
        <v>234.63</v>
      </c>
      <c r="L721" s="147">
        <v>225.85</v>
      </c>
      <c r="M721" s="147">
        <v>228.45</v>
      </c>
      <c r="N721" s="147">
        <v>282021</v>
      </c>
      <c r="O721" s="147" t="s">
        <v>751</v>
      </c>
      <c r="P721" s="151">
        <f t="shared" si="26"/>
        <v>1.4707813525935753E-2</v>
      </c>
    </row>
    <row r="722" spans="2:16" ht="14.25" customHeight="1">
      <c r="B722" s="243">
        <v>422.39305219656916</v>
      </c>
      <c r="C722" s="243">
        <v>425.68815669522667</v>
      </c>
      <c r="D722" s="243">
        <v>422.17665727426925</v>
      </c>
      <c r="E722" s="243">
        <v>423.27830415143239</v>
      </c>
      <c r="F722" s="243">
        <v>4010985.8899420621</v>
      </c>
      <c r="G722" s="243" t="s">
        <v>752</v>
      </c>
      <c r="H722" s="151">
        <f t="shared" si="25"/>
        <v>-2.0914182139288862E-3</v>
      </c>
      <c r="J722" s="147">
        <v>231.19</v>
      </c>
      <c r="K722" s="147">
        <v>232.95</v>
      </c>
      <c r="L722" s="147">
        <v>227.57</v>
      </c>
      <c r="M722" s="147">
        <v>231.4</v>
      </c>
      <c r="N722" s="147">
        <v>812590</v>
      </c>
      <c r="O722" s="147" t="s">
        <v>752</v>
      </c>
      <c r="P722" s="151">
        <f t="shared" si="26"/>
        <v>-9.0751944684530628E-4</v>
      </c>
    </row>
    <row r="723" spans="2:16" ht="14.25" customHeight="1">
      <c r="B723" s="243">
        <v>423.73076626169586</v>
      </c>
      <c r="C723" s="243">
        <v>425.90455161752664</v>
      </c>
      <c r="D723" s="243">
        <v>423.19961508877788</v>
      </c>
      <c r="E723" s="243">
        <v>425.23569458496331</v>
      </c>
      <c r="F723" s="243">
        <v>4885099.7461713459</v>
      </c>
      <c r="G723" s="243" t="s">
        <v>753</v>
      </c>
      <c r="H723" s="151">
        <f t="shared" si="25"/>
        <v>-3.5390451517394172E-3</v>
      </c>
      <c r="J723" s="147">
        <v>231.69</v>
      </c>
      <c r="K723" s="147">
        <v>241.55</v>
      </c>
      <c r="L723" s="147">
        <v>230.92</v>
      </c>
      <c r="M723" s="147">
        <v>240.82</v>
      </c>
      <c r="N723" s="147">
        <v>498839</v>
      </c>
      <c r="O723" s="147" t="s">
        <v>753</v>
      </c>
      <c r="P723" s="151">
        <f t="shared" si="26"/>
        <v>-3.7912133543725579E-2</v>
      </c>
    </row>
    <row r="724" spans="2:16" ht="14.25" customHeight="1">
      <c r="B724" s="243">
        <v>426.8980010335398</v>
      </c>
      <c r="C724" s="243">
        <v>428.13735377034828</v>
      </c>
      <c r="D724" s="243">
        <v>425.27503911629054</v>
      </c>
      <c r="E724" s="243">
        <v>426.79963970522169</v>
      </c>
      <c r="F724" s="243">
        <v>9227245.2550100368</v>
      </c>
      <c r="G724" s="243" t="s">
        <v>754</v>
      </c>
      <c r="H724" s="151">
        <f t="shared" si="25"/>
        <v>2.3046253831426888E-4</v>
      </c>
      <c r="J724" s="147">
        <v>244.77</v>
      </c>
      <c r="K724" s="147">
        <v>252.535</v>
      </c>
      <c r="L724" s="147">
        <v>243.25</v>
      </c>
      <c r="M724" s="147">
        <v>247.68</v>
      </c>
      <c r="N724" s="147">
        <v>272767</v>
      </c>
      <c r="O724" s="147" t="s">
        <v>754</v>
      </c>
      <c r="P724" s="151">
        <f t="shared" si="26"/>
        <v>-1.1749031007751931E-2</v>
      </c>
    </row>
    <row r="725" spans="2:16" ht="14.25" customHeight="1">
      <c r="B725" s="243">
        <v>429.64228209361579</v>
      </c>
      <c r="C725" s="243">
        <v>431.15704654971501</v>
      </c>
      <c r="D725" s="243">
        <v>427.81276138689844</v>
      </c>
      <c r="E725" s="243">
        <v>430.69474830661983</v>
      </c>
      <c r="F725" s="243">
        <v>4449802.6560231056</v>
      </c>
      <c r="G725" s="243" t="s">
        <v>755</v>
      </c>
      <c r="H725" s="151">
        <f t="shared" si="25"/>
        <v>-2.4436476579806632E-3</v>
      </c>
      <c r="J725" s="147">
        <v>251.54</v>
      </c>
      <c r="K725" s="147">
        <v>256.64</v>
      </c>
      <c r="L725" s="147">
        <v>250.56</v>
      </c>
      <c r="M725" s="147">
        <v>255.03</v>
      </c>
      <c r="N725" s="147">
        <v>146427</v>
      </c>
      <c r="O725" s="147" t="s">
        <v>755</v>
      </c>
      <c r="P725" s="151">
        <f t="shared" si="26"/>
        <v>-1.3684664549268755E-2</v>
      </c>
    </row>
    <row r="726" spans="2:16" ht="14.25" customHeight="1">
      <c r="B726" s="243">
        <v>430.79310963493799</v>
      </c>
      <c r="C726" s="243">
        <v>431.6488531913057</v>
      </c>
      <c r="D726" s="243">
        <v>430.48818951715174</v>
      </c>
      <c r="E726" s="243">
        <v>431.06852135422872</v>
      </c>
      <c r="F726" s="243">
        <v>4782016.5510440329</v>
      </c>
      <c r="G726" s="243" t="s">
        <v>756</v>
      </c>
      <c r="H726" s="151">
        <f t="shared" si="25"/>
        <v>-6.3890473474037535E-4</v>
      </c>
      <c r="J726" s="147">
        <v>255.47</v>
      </c>
      <c r="K726" s="147">
        <v>261.8</v>
      </c>
      <c r="L726" s="147">
        <v>253.38499999999999</v>
      </c>
      <c r="M726" s="147">
        <v>259.45</v>
      </c>
      <c r="N726" s="147">
        <v>253322</v>
      </c>
      <c r="O726" s="147" t="s">
        <v>756</v>
      </c>
      <c r="P726" s="151">
        <f t="shared" si="26"/>
        <v>-1.5340142609365892E-2</v>
      </c>
    </row>
    <row r="727" spans="2:16" ht="14.25" customHeight="1">
      <c r="B727" s="243">
        <v>430.72425670511524</v>
      </c>
      <c r="C727" s="243">
        <v>430.84229029909699</v>
      </c>
      <c r="D727" s="243">
        <v>429.26850904600684</v>
      </c>
      <c r="E727" s="243">
        <v>429.73572535551796</v>
      </c>
      <c r="F727" s="243">
        <v>4342162.7920538438</v>
      </c>
      <c r="G727" s="243" t="s">
        <v>757</v>
      </c>
      <c r="H727" s="151">
        <f t="shared" si="25"/>
        <v>2.3003238764462974E-3</v>
      </c>
      <c r="J727" s="147">
        <v>260.22000000000003</v>
      </c>
      <c r="K727" s="147">
        <v>262.77</v>
      </c>
      <c r="L727" s="147">
        <v>258.625</v>
      </c>
      <c r="M727" s="147">
        <v>260.37</v>
      </c>
      <c r="N727" s="147">
        <v>105882</v>
      </c>
      <c r="O727" s="147" t="s">
        <v>757</v>
      </c>
      <c r="P727" s="151">
        <f t="shared" si="26"/>
        <v>-5.7610323770007632E-4</v>
      </c>
    </row>
    <row r="728" spans="2:16" ht="14.25" customHeight="1">
      <c r="B728" s="243">
        <v>429.93736607857016</v>
      </c>
      <c r="C728" s="243">
        <v>430.74392897077888</v>
      </c>
      <c r="D728" s="243">
        <v>428.44227388813448</v>
      </c>
      <c r="E728" s="243">
        <v>428.52647118517484</v>
      </c>
      <c r="F728" s="243">
        <v>3899740.9506239491</v>
      </c>
      <c r="G728" s="243" t="s">
        <v>758</v>
      </c>
      <c r="H728" s="151">
        <f t="shared" si="25"/>
        <v>3.2924334627291163E-3</v>
      </c>
      <c r="J728" s="147">
        <v>260.14</v>
      </c>
      <c r="K728" s="147">
        <v>262.75</v>
      </c>
      <c r="L728" s="147">
        <v>257.94</v>
      </c>
      <c r="M728" s="147">
        <v>260.36</v>
      </c>
      <c r="N728" s="147">
        <v>117380</v>
      </c>
      <c r="O728" s="147" t="s">
        <v>758</v>
      </c>
      <c r="P728" s="151">
        <f t="shared" si="26"/>
        <v>-8.4498386848985696E-4</v>
      </c>
    </row>
    <row r="729" spans="2:16" ht="14.25" customHeight="1">
      <c r="B729" s="243">
        <v>428.15702603601193</v>
      </c>
      <c r="C729" s="243">
        <v>429.67965939837666</v>
      </c>
      <c r="D729" s="243">
        <v>426.37668599345369</v>
      </c>
      <c r="E729" s="243">
        <v>428.32424029415273</v>
      </c>
      <c r="F729" s="243">
        <v>4105098.0797455548</v>
      </c>
      <c r="G729" s="243" t="s">
        <v>759</v>
      </c>
      <c r="H729" s="151">
        <f t="shared" si="25"/>
        <v>-3.9039176962285538E-4</v>
      </c>
      <c r="J729" s="147">
        <v>258.58</v>
      </c>
      <c r="K729" s="147">
        <v>261.94</v>
      </c>
      <c r="L729" s="147">
        <v>256.27</v>
      </c>
      <c r="M729" s="147">
        <v>260</v>
      </c>
      <c r="N729" s="147">
        <v>179660</v>
      </c>
      <c r="O729" s="147" t="s">
        <v>759</v>
      </c>
      <c r="P729" s="151">
        <f t="shared" si="26"/>
        <v>-5.4615384615385176E-3</v>
      </c>
    </row>
    <row r="730" spans="2:16" ht="14.25" customHeight="1">
      <c r="B730" s="243">
        <v>427.16357661999871</v>
      </c>
      <c r="C730" s="243">
        <v>427.51767740194401</v>
      </c>
      <c r="D730" s="243">
        <v>423.79489784775927</v>
      </c>
      <c r="E730" s="243">
        <v>426.03242134434021</v>
      </c>
      <c r="F730" s="243">
        <v>4698600.6381004583</v>
      </c>
      <c r="G730" s="243" t="s">
        <v>760</v>
      </c>
      <c r="H730" s="151">
        <f t="shared" si="25"/>
        <v>2.6550920047097026E-3</v>
      </c>
      <c r="J730" s="147">
        <v>258.58</v>
      </c>
      <c r="K730" s="147">
        <v>259.3</v>
      </c>
      <c r="L730" s="147">
        <v>249.21</v>
      </c>
      <c r="M730" s="147">
        <v>249.21</v>
      </c>
      <c r="N730" s="147">
        <v>204218</v>
      </c>
      <c r="O730" s="147" t="s">
        <v>760</v>
      </c>
      <c r="P730" s="151">
        <f t="shared" si="26"/>
        <v>3.7598812246699476E-2</v>
      </c>
    </row>
    <row r="731" spans="2:16" ht="14.25" customHeight="1">
      <c r="B731" s="243">
        <v>423.04223696346884</v>
      </c>
      <c r="C731" s="243">
        <v>430.13900680162237</v>
      </c>
      <c r="D731" s="243">
        <v>422.85535043966439</v>
      </c>
      <c r="E731" s="243">
        <v>428.37342095831178</v>
      </c>
      <c r="F731" s="243">
        <v>5879581.0293400744</v>
      </c>
      <c r="G731" s="243" t="s">
        <v>761</v>
      </c>
      <c r="H731" s="151">
        <f t="shared" si="25"/>
        <v>-1.2445179215173074E-2</v>
      </c>
      <c r="J731" s="147">
        <v>247.02</v>
      </c>
      <c r="K731" s="147">
        <v>256.18</v>
      </c>
      <c r="L731" s="147">
        <v>246.92</v>
      </c>
      <c r="M731" s="147">
        <v>252</v>
      </c>
      <c r="N731" s="147">
        <v>337288</v>
      </c>
      <c r="O731" s="147" t="s">
        <v>761</v>
      </c>
      <c r="P731" s="151">
        <f t="shared" si="26"/>
        <v>-1.9761904761904758E-2</v>
      </c>
    </row>
    <row r="732" spans="2:16" ht="14.25" customHeight="1">
      <c r="B732" s="243">
        <v>429.23791867290009</v>
      </c>
      <c r="C732" s="243">
        <v>429.2673057825105</v>
      </c>
      <c r="D732" s="243">
        <v>427.04368115532253</v>
      </c>
      <c r="E732" s="243">
        <v>427.13184248415382</v>
      </c>
      <c r="F732" s="243">
        <v>4146213.8201173837</v>
      </c>
      <c r="G732" s="243" t="s">
        <v>762</v>
      </c>
      <c r="H732" s="151">
        <f t="shared" si="25"/>
        <v>4.9307402990550475E-3</v>
      </c>
      <c r="J732" s="147">
        <v>252.08</v>
      </c>
      <c r="K732" s="147">
        <v>255.52</v>
      </c>
      <c r="L732" s="147">
        <v>250.31</v>
      </c>
      <c r="M732" s="147">
        <v>250.43</v>
      </c>
      <c r="N732" s="147">
        <v>348355</v>
      </c>
      <c r="O732" s="147" t="s">
        <v>762</v>
      </c>
      <c r="P732" s="151">
        <f t="shared" si="26"/>
        <v>6.588667491914002E-3</v>
      </c>
    </row>
    <row r="733" spans="2:16" ht="14.25" customHeight="1">
      <c r="B733" s="243">
        <v>426.64205732398028</v>
      </c>
      <c r="C733" s="243">
        <v>427.48448779947876</v>
      </c>
      <c r="D733" s="243">
        <v>425.57432567480186</v>
      </c>
      <c r="E733" s="243">
        <v>425.76044403566783</v>
      </c>
      <c r="F733" s="243">
        <v>4369747.5424563875</v>
      </c>
      <c r="G733" s="243" t="s">
        <v>763</v>
      </c>
      <c r="H733" s="151">
        <f t="shared" si="25"/>
        <v>2.0706791827720394E-3</v>
      </c>
      <c r="J733" s="147">
        <v>247.38</v>
      </c>
      <c r="K733" s="147">
        <v>249.875</v>
      </c>
      <c r="L733" s="147">
        <v>244.06</v>
      </c>
      <c r="M733" s="147">
        <v>245.87</v>
      </c>
      <c r="N733" s="147">
        <v>270071</v>
      </c>
      <c r="O733" s="147" t="s">
        <v>763</v>
      </c>
      <c r="P733" s="151">
        <f t="shared" si="26"/>
        <v>6.1414568674502679E-3</v>
      </c>
    </row>
    <row r="734" spans="2:16" ht="14.25" customHeight="1">
      <c r="B734" s="243">
        <v>424.24211003912978</v>
      </c>
      <c r="C734" s="243">
        <v>425.37841161073248</v>
      </c>
      <c r="D734" s="243">
        <v>423.40947526683476</v>
      </c>
      <c r="E734" s="243">
        <v>424.34006707116453</v>
      </c>
      <c r="F734" s="243">
        <v>5437119.6119056791</v>
      </c>
      <c r="G734" s="243" t="s">
        <v>764</v>
      </c>
      <c r="H734" s="151">
        <f t="shared" si="25"/>
        <v>-2.3084558738661887E-4</v>
      </c>
      <c r="J734" s="147">
        <v>245.48</v>
      </c>
      <c r="K734" s="147">
        <v>253.07</v>
      </c>
      <c r="L734" s="147">
        <v>243.33</v>
      </c>
      <c r="M734" s="147">
        <v>251.03</v>
      </c>
      <c r="N734" s="147">
        <v>786485</v>
      </c>
      <c r="O734" s="147" t="s">
        <v>764</v>
      </c>
      <c r="P734" s="151">
        <f t="shared" si="26"/>
        <v>-2.2108911285503741E-2</v>
      </c>
    </row>
    <row r="735" spans="2:16" ht="14.25" customHeight="1">
      <c r="B735" s="243">
        <v>424.88862645055889</v>
      </c>
      <c r="C735" s="243">
        <v>426.46984886166319</v>
      </c>
      <c r="D735" s="243">
        <v>422.42990494648768</v>
      </c>
      <c r="E735" s="243">
        <v>425.34902450112207</v>
      </c>
      <c r="F735" s="243">
        <v>8523270.6897872202</v>
      </c>
      <c r="G735" s="243" t="s">
        <v>765</v>
      </c>
      <c r="H735" s="151">
        <f t="shared" si="25"/>
        <v>-1.082400626410629E-3</v>
      </c>
      <c r="J735" s="147">
        <v>252.84</v>
      </c>
      <c r="K735" s="147">
        <v>255.07</v>
      </c>
      <c r="L735" s="147">
        <v>244.77</v>
      </c>
      <c r="M735" s="147">
        <v>244.77</v>
      </c>
      <c r="N735" s="147">
        <v>622461</v>
      </c>
      <c r="O735" s="147" t="s">
        <v>765</v>
      </c>
      <c r="P735" s="151">
        <f t="shared" si="26"/>
        <v>3.2969726682191336E-2</v>
      </c>
    </row>
    <row r="736" spans="2:16" ht="14.25" customHeight="1">
      <c r="B736" s="243">
        <v>423.64457214371811</v>
      </c>
      <c r="C736" s="243">
        <v>423.7719162853632</v>
      </c>
      <c r="D736" s="243">
        <v>417.79653733124582</v>
      </c>
      <c r="E736" s="243">
        <v>418.15897834977426</v>
      </c>
      <c r="F736" s="243">
        <v>8839708.4110629745</v>
      </c>
      <c r="G736" s="243" t="s">
        <v>766</v>
      </c>
      <c r="H736" s="151">
        <f t="shared" si="25"/>
        <v>1.311844077961033E-2</v>
      </c>
      <c r="J736" s="147">
        <v>240.31</v>
      </c>
      <c r="K736" s="147">
        <v>240.53</v>
      </c>
      <c r="L736" s="147">
        <v>228.2</v>
      </c>
      <c r="M736" s="147">
        <v>228.2</v>
      </c>
      <c r="N736" s="147">
        <v>364440</v>
      </c>
      <c r="O736" s="147" t="s">
        <v>766</v>
      </c>
      <c r="P736" s="151">
        <f t="shared" si="26"/>
        <v>5.3067484662576714E-2</v>
      </c>
    </row>
    <row r="737" spans="2:16" ht="14.25" customHeight="1">
      <c r="B737" s="243">
        <v>417.95326858250138</v>
      </c>
      <c r="C737" s="243">
        <v>417.95326858250138</v>
      </c>
      <c r="D737" s="243">
        <v>414.62654981757061</v>
      </c>
      <c r="E737" s="243">
        <v>415.553321297651</v>
      </c>
      <c r="F737" s="243">
        <v>6107327.7494566049</v>
      </c>
      <c r="G737" s="243" t="s">
        <v>767</v>
      </c>
      <c r="H737" s="151">
        <f t="shared" si="25"/>
        <v>5.7753052661353443E-3</v>
      </c>
      <c r="J737" s="147">
        <v>229.37</v>
      </c>
      <c r="K737" s="147">
        <v>230.59</v>
      </c>
      <c r="L737" s="147">
        <v>222.285</v>
      </c>
      <c r="M737" s="147">
        <v>225.15</v>
      </c>
      <c r="N737" s="147">
        <v>256856</v>
      </c>
      <c r="O737" s="147" t="s">
        <v>767</v>
      </c>
      <c r="P737" s="151">
        <f t="shared" si="26"/>
        <v>1.8743060182100812E-2</v>
      </c>
    </row>
    <row r="738" spans="2:16" ht="14.25" customHeight="1">
      <c r="B738" s="243">
        <v>415.88637520656897</v>
      </c>
      <c r="C738" s="243">
        <v>416.03331075462103</v>
      </c>
      <c r="D738" s="243">
        <v>413.59418065695678</v>
      </c>
      <c r="E738" s="243">
        <v>413.7802990178227</v>
      </c>
      <c r="F738" s="243">
        <v>5356517.9456853075</v>
      </c>
      <c r="G738" s="243" t="s">
        <v>768</v>
      </c>
      <c r="H738" s="151">
        <f t="shared" si="25"/>
        <v>5.0898416230675814E-3</v>
      </c>
      <c r="J738" s="147">
        <v>224.11</v>
      </c>
      <c r="K738" s="147">
        <v>225.54</v>
      </c>
      <c r="L738" s="147">
        <v>222.55</v>
      </c>
      <c r="M738" s="147">
        <v>224.68</v>
      </c>
      <c r="N738" s="147">
        <v>265722</v>
      </c>
      <c r="O738" s="147" t="s">
        <v>768</v>
      </c>
      <c r="P738" s="151">
        <f t="shared" si="26"/>
        <v>-2.5369414278083591E-3</v>
      </c>
    </row>
    <row r="739" spans="2:16" ht="14.25" customHeight="1">
      <c r="B739" s="243">
        <v>414.27987988119975</v>
      </c>
      <c r="C739" s="243">
        <v>414.72068652535592</v>
      </c>
      <c r="D739" s="243">
        <v>411.56647009383818</v>
      </c>
      <c r="E739" s="243">
        <v>411.78197556431456</v>
      </c>
      <c r="F739" s="243">
        <v>5232169.5477501424</v>
      </c>
      <c r="G739" s="243" t="s">
        <v>769</v>
      </c>
      <c r="H739" s="151">
        <f t="shared" si="25"/>
        <v>6.0660846397222468E-3</v>
      </c>
      <c r="J739" s="147">
        <v>224.04</v>
      </c>
      <c r="K739" s="147">
        <v>224.73</v>
      </c>
      <c r="L739" s="147">
        <v>221.14</v>
      </c>
      <c r="M739" s="147">
        <v>223.25</v>
      </c>
      <c r="N739" s="147">
        <v>279165</v>
      </c>
      <c r="O739" s="147" t="s">
        <v>769</v>
      </c>
      <c r="P739" s="151">
        <f t="shared" si="26"/>
        <v>3.5386338185889876E-3</v>
      </c>
    </row>
    <row r="740" spans="2:16" ht="14.25" customHeight="1">
      <c r="B740" s="243">
        <v>412.52644900777841</v>
      </c>
      <c r="C740" s="243">
        <v>413.05541698076587</v>
      </c>
      <c r="D740" s="243">
        <v>410.71424391513619</v>
      </c>
      <c r="E740" s="243">
        <v>411.2334161849202</v>
      </c>
      <c r="F740" s="243">
        <v>3315995.7305045594</v>
      </c>
      <c r="G740" s="243" t="s">
        <v>770</v>
      </c>
      <c r="H740" s="151">
        <f t="shared" si="25"/>
        <v>3.1442795550369329E-3</v>
      </c>
      <c r="J740" s="147">
        <v>223.19</v>
      </c>
      <c r="K740" s="147">
        <v>224.64</v>
      </c>
      <c r="L740" s="147">
        <v>221.2</v>
      </c>
      <c r="M740" s="147">
        <v>221.23</v>
      </c>
      <c r="N740" s="147">
        <v>158540</v>
      </c>
      <c r="O740" s="147" t="s">
        <v>770</v>
      </c>
      <c r="P740" s="151">
        <f t="shared" si="26"/>
        <v>8.859557926140349E-3</v>
      </c>
    </row>
    <row r="741" spans="2:16" ht="14.25" customHeight="1">
      <c r="B741" s="243">
        <v>409.32325406024336</v>
      </c>
      <c r="C741" s="243">
        <v>413.05541698076587</v>
      </c>
      <c r="D741" s="243">
        <v>408.9314259321045</v>
      </c>
      <c r="E741" s="243">
        <v>412.99664276154499</v>
      </c>
      <c r="F741" s="243">
        <v>4289432.7367034713</v>
      </c>
      <c r="G741" s="243" t="s">
        <v>771</v>
      </c>
      <c r="H741" s="151">
        <f t="shared" si="25"/>
        <v>-8.8944759374777194E-3</v>
      </c>
      <c r="J741" s="147">
        <v>221.9</v>
      </c>
      <c r="K741" s="147">
        <v>222.946</v>
      </c>
      <c r="L741" s="147">
        <v>217.643</v>
      </c>
      <c r="M741" s="147">
        <v>221.85</v>
      </c>
      <c r="N741" s="147">
        <v>311298</v>
      </c>
      <c r="O741" s="147" t="s">
        <v>771</v>
      </c>
      <c r="P741" s="151">
        <f t="shared" si="26"/>
        <v>2.2537750732487538E-4</v>
      </c>
    </row>
    <row r="742" spans="2:16" ht="14.25" customHeight="1">
      <c r="B742" s="243">
        <v>411.03750212085077</v>
      </c>
      <c r="C742" s="243">
        <v>411.87993259634931</v>
      </c>
      <c r="D742" s="243">
        <v>409.46039390509196</v>
      </c>
      <c r="E742" s="243">
        <v>409.79344781400994</v>
      </c>
      <c r="F742" s="243">
        <v>3490594.7321764301</v>
      </c>
      <c r="G742" s="243" t="s">
        <v>772</v>
      </c>
      <c r="H742" s="151">
        <f t="shared" si="25"/>
        <v>3.0358081942918336E-3</v>
      </c>
      <c r="J742" s="147">
        <v>220.91</v>
      </c>
      <c r="K742" s="147">
        <v>227.48</v>
      </c>
      <c r="L742" s="147">
        <v>217.12</v>
      </c>
      <c r="M742" s="147">
        <v>226.44</v>
      </c>
      <c r="N742" s="147">
        <v>365354</v>
      </c>
      <c r="O742" s="147" t="s">
        <v>772</v>
      </c>
      <c r="P742" s="151">
        <f t="shared" si="26"/>
        <v>-2.4421480303833287E-2</v>
      </c>
    </row>
    <row r="743" spans="2:16" ht="14.25" customHeight="1">
      <c r="B743" s="243">
        <v>411.16484626249593</v>
      </c>
      <c r="C743" s="243">
        <v>411.29219040414102</v>
      </c>
      <c r="D743" s="243">
        <v>408.97060874491837</v>
      </c>
      <c r="E743" s="243">
        <v>410.09711461331756</v>
      </c>
      <c r="F743" s="243">
        <v>5927169.1673371857</v>
      </c>
      <c r="G743" s="243" t="s">
        <v>773</v>
      </c>
      <c r="H743" s="151">
        <f t="shared" si="25"/>
        <v>2.6036068314820859E-3</v>
      </c>
      <c r="J743" s="147">
        <v>228.54</v>
      </c>
      <c r="K743" s="147">
        <v>230.29</v>
      </c>
      <c r="L743" s="147">
        <v>223.93</v>
      </c>
      <c r="M743" s="147">
        <v>226.42</v>
      </c>
      <c r="N743" s="147">
        <v>554285</v>
      </c>
      <c r="O743" s="147" t="s">
        <v>773</v>
      </c>
      <c r="P743" s="151">
        <f t="shared" si="26"/>
        <v>9.3631304655066305E-3</v>
      </c>
    </row>
    <row r="744" spans="2:16" ht="14.25" customHeight="1">
      <c r="B744" s="243">
        <v>413.24153534163179</v>
      </c>
      <c r="C744" s="243">
        <v>413.74111620500884</v>
      </c>
      <c r="D744" s="243">
        <v>409.7052864851787</v>
      </c>
      <c r="E744" s="243">
        <v>410.27343727098003</v>
      </c>
      <c r="F744" s="243">
        <v>5077353.7097751191</v>
      </c>
      <c r="G744" s="243" t="s">
        <v>774</v>
      </c>
      <c r="H744" s="151">
        <f t="shared" si="25"/>
        <v>7.2344387937828269E-3</v>
      </c>
      <c r="J744" s="147">
        <v>227.75</v>
      </c>
      <c r="K744" s="147">
        <v>229.69</v>
      </c>
      <c r="L744" s="147">
        <v>221.01</v>
      </c>
      <c r="M744" s="147">
        <v>221.94</v>
      </c>
      <c r="N744" s="147">
        <v>383440</v>
      </c>
      <c r="O744" s="147" t="s">
        <v>774</v>
      </c>
      <c r="P744" s="151">
        <f t="shared" si="26"/>
        <v>2.6178246372893677E-2</v>
      </c>
    </row>
    <row r="745" spans="2:16" ht="14.25" customHeight="1">
      <c r="B745" s="243">
        <v>410.83179235357784</v>
      </c>
      <c r="C745" s="243">
        <v>411.12566344968201</v>
      </c>
      <c r="D745" s="243">
        <v>408.05960834699556</v>
      </c>
      <c r="E745" s="243">
        <v>409.98936187807942</v>
      </c>
      <c r="F745" s="243">
        <v>4497573.9959524777</v>
      </c>
      <c r="G745" s="243" t="s">
        <v>775</v>
      </c>
      <c r="H745" s="151">
        <f t="shared" si="25"/>
        <v>2.0547617909874027E-3</v>
      </c>
      <c r="J745" s="147">
        <v>222.09</v>
      </c>
      <c r="K745" s="147">
        <v>226.41</v>
      </c>
      <c r="L745" s="147">
        <v>221.13</v>
      </c>
      <c r="M745" s="147">
        <v>226.41</v>
      </c>
      <c r="N745" s="147">
        <v>297351</v>
      </c>
      <c r="O745" s="147" t="s">
        <v>775</v>
      </c>
      <c r="P745" s="151">
        <f t="shared" si="26"/>
        <v>-1.9080429309659475E-2</v>
      </c>
    </row>
    <row r="746" spans="2:16" ht="14.25" customHeight="1">
      <c r="B746" s="243">
        <v>409.24488843461552</v>
      </c>
      <c r="C746" s="243">
        <v>412.5166533045749</v>
      </c>
      <c r="D746" s="243">
        <v>408.83836675167151</v>
      </c>
      <c r="E746" s="243">
        <v>411.47772102281476</v>
      </c>
      <c r="F746" s="243">
        <v>4177972.6426886683</v>
      </c>
      <c r="G746" s="243" t="s">
        <v>776</v>
      </c>
      <c r="H746" s="151">
        <f t="shared" si="25"/>
        <v>-5.4263754126203656E-3</v>
      </c>
      <c r="J746" s="147">
        <v>226.61</v>
      </c>
      <c r="K746" s="147">
        <v>232.55</v>
      </c>
      <c r="L746" s="147">
        <v>225.06</v>
      </c>
      <c r="M746" s="147">
        <v>227.06</v>
      </c>
      <c r="N746" s="147">
        <v>343509</v>
      </c>
      <c r="O746" s="147" t="s">
        <v>776</v>
      </c>
      <c r="P746" s="151">
        <f t="shared" si="26"/>
        <v>-1.9818550162952198E-3</v>
      </c>
    </row>
    <row r="747" spans="2:16" ht="14.25" customHeight="1">
      <c r="B747" s="243">
        <v>409.50937242110928</v>
      </c>
      <c r="C747" s="243">
        <v>410.68485680552584</v>
      </c>
      <c r="D747" s="243">
        <v>408.19674819184416</v>
      </c>
      <c r="E747" s="243">
        <v>408.72571616483162</v>
      </c>
      <c r="F747" s="243">
        <v>3452985.3852671185</v>
      </c>
      <c r="G747" s="243" t="s">
        <v>777</v>
      </c>
      <c r="H747" s="151">
        <f t="shared" si="25"/>
        <v>1.9173157579388533E-3</v>
      </c>
      <c r="J747" s="147">
        <v>224.57</v>
      </c>
      <c r="K747" s="147">
        <v>230.7</v>
      </c>
      <c r="L747" s="147">
        <v>222.91</v>
      </c>
      <c r="M747" s="147">
        <v>229.35</v>
      </c>
      <c r="N747" s="147">
        <v>450831</v>
      </c>
      <c r="O747" s="147" t="s">
        <v>777</v>
      </c>
      <c r="P747" s="151">
        <f t="shared" si="26"/>
        <v>-2.0841508611292747E-2</v>
      </c>
    </row>
    <row r="748" spans="2:16" ht="14.25" customHeight="1">
      <c r="B748" s="243">
        <v>409.10774858976697</v>
      </c>
      <c r="C748" s="243">
        <v>409.97692133501101</v>
      </c>
      <c r="D748" s="243">
        <v>408.70612475842466</v>
      </c>
      <c r="E748" s="243">
        <v>409.25468413781908</v>
      </c>
      <c r="F748" s="243">
        <v>3708311.6184173571</v>
      </c>
      <c r="G748" s="243" t="s">
        <v>778</v>
      </c>
      <c r="H748" s="151">
        <f t="shared" si="25"/>
        <v>-3.5903204959442103E-4</v>
      </c>
      <c r="J748" s="147">
        <v>231.02</v>
      </c>
      <c r="K748" s="147">
        <v>233.52</v>
      </c>
      <c r="L748" s="147">
        <v>230.45</v>
      </c>
      <c r="M748" s="147">
        <v>231.25</v>
      </c>
      <c r="N748" s="147">
        <v>196097</v>
      </c>
      <c r="O748" s="147" t="s">
        <v>778</v>
      </c>
      <c r="P748" s="151">
        <f t="shared" si="26"/>
        <v>-9.9459459459450006E-4</v>
      </c>
    </row>
    <row r="749" spans="2:16" ht="14.25" customHeight="1">
      <c r="B749" s="243">
        <v>409.82283492362035</v>
      </c>
      <c r="C749" s="243">
        <v>409.94038336206205</v>
      </c>
      <c r="D749" s="243">
        <v>409.3036626538364</v>
      </c>
      <c r="E749" s="243">
        <v>409.64651226595788</v>
      </c>
      <c r="F749" s="243">
        <v>1379453.7992139023</v>
      </c>
      <c r="G749" s="243" t="s">
        <v>779</v>
      </c>
      <c r="H749" s="151">
        <f t="shared" si="25"/>
        <v>4.304263612233683E-4</v>
      </c>
      <c r="J749" s="147">
        <v>232.9</v>
      </c>
      <c r="K749" s="147">
        <v>236.49</v>
      </c>
      <c r="L749" s="147">
        <v>231.08</v>
      </c>
      <c r="M749" s="147">
        <v>231.08</v>
      </c>
      <c r="N749" s="147">
        <v>70973</v>
      </c>
      <c r="O749" s="147" t="s">
        <v>779</v>
      </c>
      <c r="P749" s="151">
        <f t="shared" si="26"/>
        <v>7.8760602388783241E-3</v>
      </c>
    </row>
    <row r="750" spans="2:16" ht="14.25" customHeight="1">
      <c r="B750" s="243">
        <v>409.59753374994051</v>
      </c>
      <c r="C750" s="243">
        <v>410.74363102474666</v>
      </c>
      <c r="D750" s="243">
        <v>408.53959780396565</v>
      </c>
      <c r="E750" s="243">
        <v>409.52896382751624</v>
      </c>
      <c r="F750" s="243">
        <v>3771106.4976846292</v>
      </c>
      <c r="G750" s="243" t="s">
        <v>780</v>
      </c>
      <c r="H750" s="151">
        <f t="shared" si="25"/>
        <v>1.6743607529834392E-4</v>
      </c>
      <c r="J750" s="147">
        <v>231.68</v>
      </c>
      <c r="K750" s="147">
        <v>236.06950000000001</v>
      </c>
      <c r="L750" s="147">
        <v>231.44</v>
      </c>
      <c r="M750" s="147">
        <v>233.34</v>
      </c>
      <c r="N750" s="147">
        <v>252306</v>
      </c>
      <c r="O750" s="147" t="s">
        <v>780</v>
      </c>
      <c r="P750" s="151">
        <f t="shared" si="26"/>
        <v>-7.1140824547869519E-3</v>
      </c>
    </row>
    <row r="751" spans="2:16" ht="14.25" customHeight="1">
      <c r="B751" s="243">
        <v>407.83430717331572</v>
      </c>
      <c r="C751" s="243">
        <v>408.32409233348926</v>
      </c>
      <c r="D751" s="243">
        <v>406.81555404015472</v>
      </c>
      <c r="E751" s="243">
        <v>407.89308139253654</v>
      </c>
      <c r="F751" s="243">
        <v>5357641.9078727392</v>
      </c>
      <c r="G751" s="243" t="s">
        <v>781</v>
      </c>
      <c r="H751" s="151">
        <f t="shared" si="25"/>
        <v>-1.4409221902011993E-4</v>
      </c>
      <c r="J751" s="147">
        <v>230.23</v>
      </c>
      <c r="K751" s="147">
        <v>236</v>
      </c>
      <c r="L751" s="147">
        <v>229.29499999999999</v>
      </c>
      <c r="M751" s="147">
        <v>236</v>
      </c>
      <c r="N751" s="147">
        <v>231277</v>
      </c>
      <c r="O751" s="147" t="s">
        <v>781</v>
      </c>
      <c r="P751" s="151">
        <f t="shared" si="26"/>
        <v>-2.4449152542372898E-2</v>
      </c>
    </row>
    <row r="752" spans="2:16" ht="14.25" customHeight="1">
      <c r="B752" s="243">
        <v>408.90203882249409</v>
      </c>
      <c r="C752" s="243">
        <v>409.65630796916133</v>
      </c>
      <c r="D752" s="243">
        <v>405.52242326026453</v>
      </c>
      <c r="E752" s="243">
        <v>405.53231692050002</v>
      </c>
      <c r="F752" s="243">
        <v>3597916.2769561326</v>
      </c>
      <c r="G752" s="243" t="s">
        <v>782</v>
      </c>
      <c r="H752" s="151">
        <f t="shared" si="25"/>
        <v>8.3093794536099885E-3</v>
      </c>
      <c r="J752" s="147">
        <v>235.45</v>
      </c>
      <c r="K752" s="147">
        <v>236.2</v>
      </c>
      <c r="L752" s="147">
        <v>226.01</v>
      </c>
      <c r="M752" s="147">
        <v>226.01</v>
      </c>
      <c r="N752" s="147">
        <v>536805</v>
      </c>
      <c r="O752" s="147" t="s">
        <v>782</v>
      </c>
      <c r="P752" s="151">
        <f t="shared" si="26"/>
        <v>4.1768063360028362E-2</v>
      </c>
    </row>
    <row r="753" spans="2:16" ht="14.25" customHeight="1">
      <c r="B753" s="243">
        <v>405.84577942301109</v>
      </c>
      <c r="C753" s="243">
        <v>406.31597317677773</v>
      </c>
      <c r="D753" s="243">
        <v>404.43519816171124</v>
      </c>
      <c r="E753" s="243">
        <v>405.48333840448265</v>
      </c>
      <c r="F753" s="243">
        <v>4798163.9524710281</v>
      </c>
      <c r="G753" s="243" t="s">
        <v>783</v>
      </c>
      <c r="H753" s="151">
        <f t="shared" si="25"/>
        <v>8.9384935014735767E-4</v>
      </c>
      <c r="J753" s="147">
        <v>226.31</v>
      </c>
      <c r="K753" s="147">
        <v>230.96</v>
      </c>
      <c r="L753" s="147">
        <v>224.63</v>
      </c>
      <c r="M753" s="147">
        <v>225.33</v>
      </c>
      <c r="N753" s="147">
        <v>548137</v>
      </c>
      <c r="O753" s="147" t="s">
        <v>783</v>
      </c>
      <c r="P753" s="151">
        <f t="shared" si="26"/>
        <v>4.3491767629697531E-3</v>
      </c>
    </row>
    <row r="754" spans="2:16" ht="14.25" customHeight="1">
      <c r="B754" s="243">
        <v>405.24824152759936</v>
      </c>
      <c r="C754" s="243">
        <v>405.4931341076861</v>
      </c>
      <c r="D754" s="243">
        <v>403.33807940292252</v>
      </c>
      <c r="E754" s="243">
        <v>404.30785402006615</v>
      </c>
      <c r="F754" s="243">
        <v>3878117.7023144872</v>
      </c>
      <c r="G754" s="243" t="s">
        <v>784</v>
      </c>
      <c r="H754" s="151">
        <f t="shared" si="25"/>
        <v>2.3259194650384618E-3</v>
      </c>
      <c r="J754" s="147">
        <v>223.67</v>
      </c>
      <c r="K754" s="147">
        <v>228.83500000000001</v>
      </c>
      <c r="L754" s="147">
        <v>221.04</v>
      </c>
      <c r="M754" s="147">
        <v>226.64</v>
      </c>
      <c r="N754" s="147">
        <v>397021</v>
      </c>
      <c r="O754" s="147" t="s">
        <v>784</v>
      </c>
      <c r="P754" s="151">
        <f t="shared" si="26"/>
        <v>-1.310448288033883E-2</v>
      </c>
    </row>
    <row r="755" spans="2:16" ht="14.25" customHeight="1">
      <c r="B755" s="243">
        <v>404.68009074179804</v>
      </c>
      <c r="C755" s="243">
        <v>406.24740325435346</v>
      </c>
      <c r="D755" s="243">
        <v>403.9454130015377</v>
      </c>
      <c r="E755" s="243">
        <v>405.09151027634385</v>
      </c>
      <c r="F755" s="243">
        <v>4506881.1378805526</v>
      </c>
      <c r="G755" s="243" t="s">
        <v>785</v>
      </c>
      <c r="H755" s="151">
        <f t="shared" si="25"/>
        <v>-1.0156212216473337E-3</v>
      </c>
      <c r="J755" s="147">
        <v>227.88</v>
      </c>
      <c r="K755" s="147">
        <v>228.71</v>
      </c>
      <c r="L755" s="147">
        <v>214</v>
      </c>
      <c r="M755" s="147">
        <v>215.49</v>
      </c>
      <c r="N755" s="147">
        <v>714902</v>
      </c>
      <c r="O755" s="147" t="s">
        <v>785</v>
      </c>
      <c r="P755" s="151">
        <f t="shared" si="26"/>
        <v>5.7496867604065027E-2</v>
      </c>
    </row>
    <row r="756" spans="2:16" ht="14.25" customHeight="1">
      <c r="B756" s="243">
        <v>403.79847745348565</v>
      </c>
      <c r="C756" s="243">
        <v>405.06212316673339</v>
      </c>
      <c r="D756" s="243">
        <v>401.51176849766733</v>
      </c>
      <c r="E756" s="243">
        <v>401.66301415512896</v>
      </c>
      <c r="F756" s="243">
        <v>7118544.5854760921</v>
      </c>
      <c r="G756" s="243" t="s">
        <v>786</v>
      </c>
      <c r="H756" s="151">
        <f t="shared" si="25"/>
        <v>5.3165544824895772E-3</v>
      </c>
      <c r="J756" s="147">
        <v>215</v>
      </c>
      <c r="K756" s="147">
        <v>218.78</v>
      </c>
      <c r="L756" s="147">
        <v>210.86</v>
      </c>
      <c r="M756" s="147">
        <v>212.31</v>
      </c>
      <c r="N756" s="147">
        <v>634498</v>
      </c>
      <c r="O756" s="147" t="s">
        <v>786</v>
      </c>
      <c r="P756" s="151">
        <f t="shared" si="26"/>
        <v>1.2670152136027513E-2</v>
      </c>
    </row>
    <row r="757" spans="2:16" ht="14.25" customHeight="1">
      <c r="B757" s="243">
        <v>396.18721606438856</v>
      </c>
      <c r="C757" s="243">
        <v>397.20596919754962</v>
      </c>
      <c r="D757" s="243">
        <v>394.59051644222279</v>
      </c>
      <c r="E757" s="243">
        <v>395.34478558889003</v>
      </c>
      <c r="F757" s="243">
        <v>2932858.3566945717</v>
      </c>
      <c r="G757" s="243" t="s">
        <v>787</v>
      </c>
      <c r="H757" s="151">
        <f t="shared" si="25"/>
        <v>2.1308753933446667E-3</v>
      </c>
      <c r="J757" s="147">
        <v>208.8</v>
      </c>
      <c r="K757" s="147">
        <v>223.0419</v>
      </c>
      <c r="L757" s="147">
        <v>202.48</v>
      </c>
      <c r="M757" s="147">
        <v>211.87</v>
      </c>
      <c r="N757" s="147">
        <v>1556320</v>
      </c>
      <c r="O757" s="147" t="s">
        <v>787</v>
      </c>
      <c r="P757" s="151">
        <f t="shared" si="26"/>
        <v>-1.4490017463538951E-2</v>
      </c>
    </row>
    <row r="758" spans="2:16" ht="14.25" customHeight="1">
      <c r="B758" s="243">
        <v>396.58883989573093</v>
      </c>
      <c r="C758" s="243">
        <v>396.83275290549733</v>
      </c>
      <c r="D758" s="243">
        <v>390.98569766334543</v>
      </c>
      <c r="E758" s="243">
        <v>392.40607462784874</v>
      </c>
      <c r="F758" s="243">
        <v>4077746.0454136403</v>
      </c>
      <c r="G758" s="243" t="s">
        <v>788</v>
      </c>
      <c r="H758" s="151">
        <f t="shared" si="25"/>
        <v>1.065927756559093E-2</v>
      </c>
      <c r="J758" s="147">
        <v>181.44</v>
      </c>
      <c r="K758" s="147">
        <v>186.26</v>
      </c>
      <c r="L758" s="147">
        <v>180.93</v>
      </c>
      <c r="M758" s="147">
        <v>184.09</v>
      </c>
      <c r="N758" s="147">
        <v>845868</v>
      </c>
      <c r="O758" s="147" t="s">
        <v>788</v>
      </c>
      <c r="P758" s="151">
        <f t="shared" si="26"/>
        <v>-1.4395132815470779E-2</v>
      </c>
    </row>
    <row r="759" spans="2:16" ht="14.25" customHeight="1">
      <c r="B759" s="243">
        <v>390.49591250317189</v>
      </c>
      <c r="C759" s="243">
        <v>394.64929066144362</v>
      </c>
      <c r="D759" s="243">
        <v>390.07469726542263</v>
      </c>
      <c r="E759" s="243">
        <v>394.58072073901934</v>
      </c>
      <c r="F759" s="243">
        <v>4232074.935193019</v>
      </c>
      <c r="G759" s="243" t="s">
        <v>789</v>
      </c>
      <c r="H759" s="151">
        <f t="shared" si="25"/>
        <v>-1.0352275266254596E-2</v>
      </c>
      <c r="J759" s="147">
        <v>183.88</v>
      </c>
      <c r="K759" s="147">
        <v>191.64</v>
      </c>
      <c r="L759" s="147">
        <v>181.07</v>
      </c>
      <c r="M759" s="147">
        <v>191.64</v>
      </c>
      <c r="N759" s="147">
        <v>689005</v>
      </c>
      <c r="O759" s="147" t="s">
        <v>789</v>
      </c>
      <c r="P759" s="151">
        <f t="shared" si="26"/>
        <v>-4.049259027342933E-2</v>
      </c>
    </row>
    <row r="760" spans="2:16" ht="14.25" customHeight="1">
      <c r="B760" s="243">
        <v>393.46401057382366</v>
      </c>
      <c r="C760" s="243">
        <v>394.27960082254458</v>
      </c>
      <c r="D760" s="243">
        <v>391.39711719789125</v>
      </c>
      <c r="E760" s="243">
        <v>393.77747307633473</v>
      </c>
      <c r="F760" s="243">
        <v>3809688.7201294741</v>
      </c>
      <c r="G760" s="243" t="s">
        <v>790</v>
      </c>
      <c r="H760" s="151">
        <f t="shared" si="25"/>
        <v>-7.9603970248010025E-4</v>
      </c>
      <c r="J760" s="147">
        <v>190.54</v>
      </c>
      <c r="K760" s="147">
        <v>196.27</v>
      </c>
      <c r="L760" s="147">
        <v>190</v>
      </c>
      <c r="M760" s="147">
        <v>196.27</v>
      </c>
      <c r="N760" s="147">
        <v>667463</v>
      </c>
      <c r="O760" s="147" t="s">
        <v>790</v>
      </c>
      <c r="P760" s="151">
        <f t="shared" si="26"/>
        <v>-2.9194476995974994E-2</v>
      </c>
    </row>
    <row r="761" spans="2:16" ht="14.25" customHeight="1">
      <c r="B761" s="243">
        <v>393.14075236810908</v>
      </c>
      <c r="C761" s="243">
        <v>393.8264515923521</v>
      </c>
      <c r="D761" s="243">
        <v>391.07385899217672</v>
      </c>
      <c r="E761" s="243">
        <v>392.08281642213421</v>
      </c>
      <c r="F761" s="243">
        <v>3428623.6835043048</v>
      </c>
      <c r="G761" s="243" t="s">
        <v>791</v>
      </c>
      <c r="H761" s="151">
        <f t="shared" si="25"/>
        <v>2.6982461400089086E-3</v>
      </c>
      <c r="J761" s="147">
        <v>196.53</v>
      </c>
      <c r="K761" s="147">
        <v>199.16499999999999</v>
      </c>
      <c r="L761" s="147">
        <v>193.3</v>
      </c>
      <c r="M761" s="147">
        <v>198.62</v>
      </c>
      <c r="N761" s="147">
        <v>467219</v>
      </c>
      <c r="O761" s="147" t="s">
        <v>791</v>
      </c>
      <c r="P761" s="151">
        <f t="shared" si="26"/>
        <v>-1.052260598127075E-2</v>
      </c>
    </row>
    <row r="762" spans="2:16" ht="14.25" customHeight="1">
      <c r="B762" s="243">
        <v>392.03383790611684</v>
      </c>
      <c r="C762" s="243">
        <v>392.54615318365842</v>
      </c>
      <c r="D762" s="243">
        <v>390.31958984550937</v>
      </c>
      <c r="E762" s="243">
        <v>391.94567657728561</v>
      </c>
      <c r="F762" s="243">
        <v>4090676.2044200012</v>
      </c>
      <c r="G762" s="243" t="s">
        <v>792</v>
      </c>
      <c r="H762" s="151">
        <f t="shared" si="25"/>
        <v>2.2493252024391452E-4</v>
      </c>
      <c r="J762" s="147">
        <v>198.69</v>
      </c>
      <c r="K762" s="147">
        <v>202.7</v>
      </c>
      <c r="L762" s="147">
        <v>196.95</v>
      </c>
      <c r="M762" s="147">
        <v>199.23</v>
      </c>
      <c r="N762" s="147">
        <v>399928</v>
      </c>
      <c r="O762" s="147" t="s">
        <v>792</v>
      </c>
      <c r="P762" s="151">
        <f t="shared" si="26"/>
        <v>-2.710435175425352E-3</v>
      </c>
    </row>
    <row r="763" spans="2:16" ht="14.25" customHeight="1">
      <c r="B763" s="243">
        <v>391.27956875944955</v>
      </c>
      <c r="C763" s="243">
        <v>392.66076291113905</v>
      </c>
      <c r="D763" s="243">
        <v>389.71225624689419</v>
      </c>
      <c r="E763" s="243">
        <v>389.79062187252197</v>
      </c>
      <c r="F763" s="243">
        <v>6106182.3492982965</v>
      </c>
      <c r="G763" s="243" t="s">
        <v>793</v>
      </c>
      <c r="H763" s="151">
        <f t="shared" si="25"/>
        <v>3.8198632891033313E-3</v>
      </c>
      <c r="J763" s="147">
        <v>197.86</v>
      </c>
      <c r="K763" s="147">
        <v>211.935</v>
      </c>
      <c r="L763" s="147">
        <v>190.42</v>
      </c>
      <c r="M763" s="147">
        <v>198.44</v>
      </c>
      <c r="N763" s="147">
        <v>883354</v>
      </c>
      <c r="O763" s="147" t="s">
        <v>793</v>
      </c>
      <c r="P763" s="151">
        <f t="shared" si="26"/>
        <v>-2.9227978230195184E-3</v>
      </c>
    </row>
    <row r="764" spans="2:16" ht="14.25" customHeight="1">
      <c r="B764" s="243">
        <v>387.69434138697915</v>
      </c>
      <c r="C764" s="243">
        <v>387.82129370049614</v>
      </c>
      <c r="D764" s="243">
        <v>383.91319995043932</v>
      </c>
      <c r="E764" s="243">
        <v>383.92299565364277</v>
      </c>
      <c r="F764" s="243">
        <v>4851273.9731804803</v>
      </c>
      <c r="G764" s="243" t="s">
        <v>794</v>
      </c>
      <c r="H764" s="151">
        <f t="shared" si="25"/>
        <v>9.8231827111985304E-3</v>
      </c>
      <c r="J764" s="147">
        <v>198.26</v>
      </c>
      <c r="K764" s="147">
        <v>201.78</v>
      </c>
      <c r="L764" s="147">
        <v>195.21</v>
      </c>
      <c r="M764" s="147">
        <v>196.29</v>
      </c>
      <c r="N764" s="147">
        <v>639730</v>
      </c>
      <c r="O764" s="147" t="s">
        <v>794</v>
      </c>
      <c r="P764" s="151">
        <f t="shared" si="26"/>
        <v>1.0036170971521763E-2</v>
      </c>
    </row>
    <row r="765" spans="2:16" ht="14.25" customHeight="1">
      <c r="B765" s="243">
        <v>380.46511242281747</v>
      </c>
      <c r="C765" s="243">
        <v>381.13122024065348</v>
      </c>
      <c r="D765" s="243">
        <v>376.76233661190543</v>
      </c>
      <c r="E765" s="243">
        <v>377.2227346624685</v>
      </c>
      <c r="F765" s="243">
        <v>5664890.9064881224</v>
      </c>
      <c r="G765" s="243" t="s">
        <v>795</v>
      </c>
      <c r="H765" s="151">
        <f t="shared" si="25"/>
        <v>8.5953932846867254E-3</v>
      </c>
      <c r="J765" s="147">
        <v>194.06</v>
      </c>
      <c r="K765" s="147">
        <v>194.27</v>
      </c>
      <c r="L765" s="147">
        <v>187.88499999999999</v>
      </c>
      <c r="M765" s="147">
        <v>190.91</v>
      </c>
      <c r="N765" s="147">
        <v>315487</v>
      </c>
      <c r="O765" s="147" t="s">
        <v>795</v>
      </c>
      <c r="P765" s="151">
        <f t="shared" si="26"/>
        <v>1.649992142894563E-2</v>
      </c>
    </row>
    <row r="766" spans="2:16" ht="14.25" customHeight="1">
      <c r="B766" s="243">
        <v>376.3215299677492</v>
      </c>
      <c r="C766" s="243">
        <v>376.62519676705682</v>
      </c>
      <c r="D766" s="243">
        <v>372.78528111129611</v>
      </c>
      <c r="E766" s="243">
        <v>374.53871198471751</v>
      </c>
      <c r="F766" s="243">
        <v>4617493.921617819</v>
      </c>
      <c r="G766" s="243" t="s">
        <v>796</v>
      </c>
      <c r="H766" s="151">
        <f t="shared" si="25"/>
        <v>4.7600366156661522E-3</v>
      </c>
      <c r="J766" s="147">
        <v>191.15</v>
      </c>
      <c r="K766" s="147">
        <v>194.12</v>
      </c>
      <c r="L766" s="147">
        <v>189.86</v>
      </c>
      <c r="M766" s="147">
        <v>193.54</v>
      </c>
      <c r="N766" s="147">
        <v>371739</v>
      </c>
      <c r="O766" s="147" t="s">
        <v>796</v>
      </c>
      <c r="P766" s="151">
        <f t="shared" si="26"/>
        <v>-1.2348868450966166E-2</v>
      </c>
    </row>
    <row r="767" spans="2:16" ht="14.25" customHeight="1">
      <c r="B767" s="243">
        <v>374.05872252774742</v>
      </c>
      <c r="C767" s="243">
        <v>374.97951862887368</v>
      </c>
      <c r="D767" s="243">
        <v>370.97307601865396</v>
      </c>
      <c r="E767" s="243">
        <v>372.14856040307052</v>
      </c>
      <c r="F767" s="243">
        <v>5916635.9776460733</v>
      </c>
      <c r="G767" s="243" t="s">
        <v>797</v>
      </c>
      <c r="H767" s="151">
        <f t="shared" si="25"/>
        <v>5.1327946092496468E-3</v>
      </c>
      <c r="J767" s="147">
        <v>191.29</v>
      </c>
      <c r="K767" s="147">
        <v>194.5</v>
      </c>
      <c r="L767" s="147">
        <v>188.6</v>
      </c>
      <c r="M767" s="147">
        <v>194.49</v>
      </c>
      <c r="N767" s="147">
        <v>305359</v>
      </c>
      <c r="O767" s="147" t="s">
        <v>797</v>
      </c>
      <c r="P767" s="151">
        <f t="shared" si="26"/>
        <v>-1.645328808679114E-2</v>
      </c>
    </row>
    <row r="768" spans="2:16" ht="14.25" customHeight="1">
      <c r="B768" s="243">
        <v>369.61147327337147</v>
      </c>
      <c r="C768" s="243">
        <v>373.1085393170107</v>
      </c>
      <c r="D768" s="243">
        <v>368.2645640828942</v>
      </c>
      <c r="E768" s="243">
        <v>372.7558940016857</v>
      </c>
      <c r="F768" s="243">
        <v>5756352.4362415485</v>
      </c>
      <c r="G768" s="243" t="s">
        <v>798</v>
      </c>
      <c r="H768" s="151">
        <f t="shared" si="25"/>
        <v>-8.4356029747982841E-3</v>
      </c>
      <c r="J768" s="147">
        <v>192.81</v>
      </c>
      <c r="K768" s="147">
        <v>200.34</v>
      </c>
      <c r="L768" s="147">
        <v>192.16</v>
      </c>
      <c r="M768" s="147">
        <v>195.28</v>
      </c>
      <c r="N768" s="147">
        <v>421917</v>
      </c>
      <c r="O768" s="147" t="s">
        <v>798</v>
      </c>
      <c r="P768" s="151">
        <f t="shared" si="26"/>
        <v>-1.264850471118395E-2</v>
      </c>
    </row>
    <row r="769" spans="2:16" ht="14.25" customHeight="1">
      <c r="B769" s="243">
        <v>371.25715141155467</v>
      </c>
      <c r="C769" s="243">
        <v>375.56442006715292</v>
      </c>
      <c r="D769" s="243">
        <v>370.42451663925959</v>
      </c>
      <c r="E769" s="243">
        <v>374.81299167441466</v>
      </c>
      <c r="F769" s="243">
        <v>7104544.5696373712</v>
      </c>
      <c r="G769" s="243" t="s">
        <v>799</v>
      </c>
      <c r="H769" s="151">
        <f t="shared" si="25"/>
        <v>-9.4869717481639304E-3</v>
      </c>
      <c r="J769" s="147">
        <v>193.08</v>
      </c>
      <c r="K769" s="147">
        <v>199.01</v>
      </c>
      <c r="L769" s="147">
        <v>192</v>
      </c>
      <c r="M769" s="147">
        <v>198</v>
      </c>
      <c r="N769" s="147">
        <v>330355</v>
      </c>
      <c r="O769" s="147" t="s">
        <v>799</v>
      </c>
      <c r="P769" s="151">
        <f t="shared" si="26"/>
        <v>-2.4848484848484786E-2</v>
      </c>
    </row>
    <row r="770" spans="2:16" ht="14.25" customHeight="1">
      <c r="B770" s="243">
        <v>375.87092762038952</v>
      </c>
      <c r="C770" s="243">
        <v>379.75982179216754</v>
      </c>
      <c r="D770" s="243">
        <v>375.29298113138475</v>
      </c>
      <c r="E770" s="243">
        <v>379.68145616653982</v>
      </c>
      <c r="F770" s="243">
        <v>5585320.3045813804</v>
      </c>
      <c r="G770" s="243" t="s">
        <v>800</v>
      </c>
      <c r="H770" s="151">
        <f t="shared" si="25"/>
        <v>-1.0036119711042457E-2</v>
      </c>
      <c r="J770" s="147">
        <v>198.66</v>
      </c>
      <c r="K770" s="147">
        <v>205.14</v>
      </c>
      <c r="L770" s="147">
        <v>198.34</v>
      </c>
      <c r="M770" s="147">
        <v>205.14</v>
      </c>
      <c r="N770" s="147">
        <v>174509</v>
      </c>
      <c r="O770" s="147" t="s">
        <v>800</v>
      </c>
      <c r="P770" s="151">
        <f t="shared" si="26"/>
        <v>-3.1588183679438386E-2</v>
      </c>
    </row>
    <row r="771" spans="2:16" ht="14.25" customHeight="1">
      <c r="B771" s="243">
        <v>381.24876867909518</v>
      </c>
      <c r="C771" s="243">
        <v>382.28711321866308</v>
      </c>
      <c r="D771" s="243">
        <v>378.65290733017537</v>
      </c>
      <c r="E771" s="243">
        <v>380.34756398437582</v>
      </c>
      <c r="F771" s="243">
        <v>4544352.6692627948</v>
      </c>
      <c r="G771" s="243" t="s">
        <v>801</v>
      </c>
      <c r="H771" s="151">
        <f t="shared" si="25"/>
        <v>2.3694241269187621E-3</v>
      </c>
      <c r="J771" s="147">
        <v>206.05</v>
      </c>
      <c r="K771" s="147">
        <v>209.33</v>
      </c>
      <c r="L771" s="147">
        <v>204.19</v>
      </c>
      <c r="M771" s="147">
        <v>206.78</v>
      </c>
      <c r="N771" s="147">
        <v>307993</v>
      </c>
      <c r="O771" s="147" t="s">
        <v>801</v>
      </c>
      <c r="P771" s="151">
        <f t="shared" si="26"/>
        <v>-3.5303220814391079E-3</v>
      </c>
    </row>
    <row r="772" spans="2:16" ht="14.25" customHeight="1">
      <c r="B772" s="243">
        <v>378.41781045329202</v>
      </c>
      <c r="C772" s="243">
        <v>381.97365071615201</v>
      </c>
      <c r="D772" s="243">
        <v>376.00806746523813</v>
      </c>
      <c r="E772" s="243">
        <v>377.60476708740396</v>
      </c>
      <c r="F772" s="243">
        <v>5652612.0534541337</v>
      </c>
      <c r="G772" s="243" t="s">
        <v>802</v>
      </c>
      <c r="H772" s="151">
        <f t="shared" si="25"/>
        <v>2.1531596970010281E-3</v>
      </c>
      <c r="J772" s="147">
        <v>207.07</v>
      </c>
      <c r="K772" s="147">
        <v>210.08</v>
      </c>
      <c r="L772" s="147">
        <v>205.04</v>
      </c>
      <c r="M772" s="147">
        <v>205.22</v>
      </c>
      <c r="N772" s="147">
        <v>213655</v>
      </c>
      <c r="O772" s="147" t="s">
        <v>802</v>
      </c>
      <c r="P772" s="151">
        <f t="shared" si="26"/>
        <v>9.014715914628102E-3</v>
      </c>
    </row>
    <row r="773" spans="2:16" ht="14.25" customHeight="1">
      <c r="B773" s="243">
        <v>379.08391827112808</v>
      </c>
      <c r="C773" s="243">
        <v>383.81524291840458</v>
      </c>
      <c r="D773" s="243">
        <v>378.93698272307597</v>
      </c>
      <c r="E773" s="243">
        <v>383.38423197745186</v>
      </c>
      <c r="F773" s="243">
        <v>7707066.9079937013</v>
      </c>
      <c r="G773" s="243" t="s">
        <v>803</v>
      </c>
      <c r="H773" s="151">
        <f t="shared" si="25"/>
        <v>-1.1216720322959728E-2</v>
      </c>
      <c r="J773" s="147">
        <v>205.5</v>
      </c>
      <c r="K773" s="147">
        <v>208.12</v>
      </c>
      <c r="L773" s="147">
        <v>203.72</v>
      </c>
      <c r="M773" s="147">
        <v>206</v>
      </c>
      <c r="N773" s="147">
        <v>182192</v>
      </c>
      <c r="O773" s="147" t="s">
        <v>803</v>
      </c>
      <c r="P773" s="151">
        <f t="shared" si="26"/>
        <v>-2.4271844660194164E-3</v>
      </c>
    </row>
    <row r="774" spans="2:16" ht="14.25" customHeight="1">
      <c r="B774" s="243">
        <v>383.86422143442195</v>
      </c>
      <c r="C774" s="243">
        <v>389.4771593700109</v>
      </c>
      <c r="D774" s="243">
        <v>383.14423724896682</v>
      </c>
      <c r="E774" s="243">
        <v>387.88045974784512</v>
      </c>
      <c r="F774" s="243">
        <v>6848822.2444537785</v>
      </c>
      <c r="G774" s="243" t="s">
        <v>804</v>
      </c>
      <c r="H774" s="151">
        <f t="shared" si="25"/>
        <v>-1.0354319771699982E-2</v>
      </c>
      <c r="J774" s="147">
        <v>206.96</v>
      </c>
      <c r="K774" s="147">
        <v>209.18</v>
      </c>
      <c r="L774" s="147">
        <v>202.82</v>
      </c>
      <c r="M774" s="147">
        <v>206.69</v>
      </c>
      <c r="N774" s="147">
        <v>361864</v>
      </c>
      <c r="O774" s="147" t="s">
        <v>804</v>
      </c>
      <c r="P774" s="151">
        <f t="shared" si="26"/>
        <v>1.3063041269534281E-3</v>
      </c>
    </row>
    <row r="775" spans="2:16" ht="14.25" customHeight="1">
      <c r="B775" s="243">
        <v>387.14578200758478</v>
      </c>
      <c r="C775" s="243">
        <v>391.64200977797799</v>
      </c>
      <c r="D775" s="243">
        <v>386.16621168723771</v>
      </c>
      <c r="E775" s="243">
        <v>390.74080508325864</v>
      </c>
      <c r="F775" s="243">
        <v>7482118.2795767868</v>
      </c>
      <c r="G775" s="243" t="s">
        <v>805</v>
      </c>
      <c r="H775" s="151">
        <f t="shared" si="25"/>
        <v>-9.2005314748425659E-3</v>
      </c>
      <c r="J775" s="147">
        <v>206.83</v>
      </c>
      <c r="K775" s="147">
        <v>210.56</v>
      </c>
      <c r="L775" s="147">
        <v>205.22</v>
      </c>
      <c r="M775" s="147">
        <v>205.88</v>
      </c>
      <c r="N775" s="147">
        <v>259498</v>
      </c>
      <c r="O775" s="147" t="s">
        <v>805</v>
      </c>
      <c r="P775" s="151">
        <f t="shared" si="26"/>
        <v>4.6143384495822559E-3</v>
      </c>
    </row>
    <row r="776" spans="2:16" ht="14.25" customHeight="1">
      <c r="B776" s="243">
        <v>392.39627892464529</v>
      </c>
      <c r="C776" s="243">
        <v>394.27705393971172</v>
      </c>
      <c r="D776" s="243">
        <v>389.19063505130936</v>
      </c>
      <c r="E776" s="243">
        <v>389.50654647962131</v>
      </c>
      <c r="F776" s="243">
        <v>4302507.8572271941</v>
      </c>
      <c r="G776" s="243" t="s">
        <v>806</v>
      </c>
      <c r="H776" s="151">
        <f t="shared" si="25"/>
        <v>7.4189573221337124E-3</v>
      </c>
      <c r="J776" s="147">
        <v>206.06</v>
      </c>
      <c r="K776" s="147">
        <v>207.73500000000001</v>
      </c>
      <c r="L776" s="147">
        <v>196.38</v>
      </c>
      <c r="M776" s="147">
        <v>196.73</v>
      </c>
      <c r="N776" s="147">
        <v>481606</v>
      </c>
      <c r="O776" s="147" t="s">
        <v>806</v>
      </c>
      <c r="P776" s="151">
        <f t="shared" si="26"/>
        <v>4.7425405377929275E-2</v>
      </c>
    </row>
    <row r="777" spans="2:16" ht="14.25" customHeight="1">
      <c r="B777" s="243">
        <v>392.38648322144178</v>
      </c>
      <c r="C777" s="243">
        <v>393.39544065139933</v>
      </c>
      <c r="D777" s="243">
        <v>390.20204140706772</v>
      </c>
      <c r="E777" s="243">
        <v>390.42734258074756</v>
      </c>
      <c r="F777" s="243">
        <v>5258367.7690181229</v>
      </c>
      <c r="G777" s="243" t="s">
        <v>807</v>
      </c>
      <c r="H777" s="151">
        <f t="shared" si="25"/>
        <v>5.0179391323983413E-3</v>
      </c>
      <c r="J777" s="147">
        <v>200.09</v>
      </c>
      <c r="K777" s="147">
        <v>201.655</v>
      </c>
      <c r="L777" s="147">
        <v>195.24</v>
      </c>
      <c r="M777" s="147">
        <v>198.42</v>
      </c>
      <c r="N777" s="147">
        <v>380693</v>
      </c>
      <c r="O777" s="147" t="s">
        <v>807</v>
      </c>
      <c r="P777" s="151">
        <f t="shared" si="26"/>
        <v>8.4164902731580504E-3</v>
      </c>
    </row>
    <row r="778" spans="2:16" ht="14.25" customHeight="1">
      <c r="B778" s="243">
        <v>388.32126639200129</v>
      </c>
      <c r="C778" s="243">
        <v>392.76851564637718</v>
      </c>
      <c r="D778" s="243">
        <v>386.89109372429448</v>
      </c>
      <c r="E778" s="243">
        <v>391.64200977797799</v>
      </c>
      <c r="F778" s="243">
        <v>3850891.479300146</v>
      </c>
      <c r="G778" s="243" t="s">
        <v>808</v>
      </c>
      <c r="H778" s="151">
        <f t="shared" ref="H778:H841" si="27">B778/E778-1</f>
        <v>-8.4790275380806079E-3</v>
      </c>
      <c r="J778" s="147">
        <v>196.42</v>
      </c>
      <c r="K778" s="147">
        <v>198.82499999999999</v>
      </c>
      <c r="L778" s="147">
        <v>192.03</v>
      </c>
      <c r="M778" s="147">
        <v>194.19</v>
      </c>
      <c r="N778" s="147">
        <v>632898</v>
      </c>
      <c r="O778" s="147" t="s">
        <v>808</v>
      </c>
      <c r="P778" s="151">
        <f t="shared" ref="P778:P841" si="28">J778/M778-1</f>
        <v>1.1483598537514794E-2</v>
      </c>
    </row>
    <row r="779" spans="2:16" ht="14.25" customHeight="1">
      <c r="B779" s="243">
        <v>390.37836406473019</v>
      </c>
      <c r="C779" s="243">
        <v>393.59135471546875</v>
      </c>
      <c r="D779" s="243">
        <v>388.1057609215249</v>
      </c>
      <c r="E779" s="243">
        <v>393.27789221295768</v>
      </c>
      <c r="F779" s="243">
        <v>3953701.8624937828</v>
      </c>
      <c r="G779" s="243" t="s">
        <v>809</v>
      </c>
      <c r="H779" s="151">
        <f t="shared" si="27"/>
        <v>-7.3727209325497034E-3</v>
      </c>
      <c r="J779" s="147">
        <v>195.11</v>
      </c>
      <c r="K779" s="147">
        <v>219.65960000000001</v>
      </c>
      <c r="L779" s="147">
        <v>194.83</v>
      </c>
      <c r="M779" s="147">
        <v>216.23</v>
      </c>
      <c r="N779" s="147">
        <v>1147008</v>
      </c>
      <c r="O779" s="147" t="s">
        <v>809</v>
      </c>
      <c r="P779" s="151">
        <f t="shared" si="28"/>
        <v>-9.767377329695226E-2</v>
      </c>
    </row>
    <row r="780" spans="2:16" ht="14.25" customHeight="1">
      <c r="B780" s="243">
        <v>392.73912853676677</v>
      </c>
      <c r="C780" s="243">
        <v>392.89585978802228</v>
      </c>
      <c r="D780" s="243">
        <v>389.8591917949463</v>
      </c>
      <c r="E780" s="243">
        <v>392.09261212533767</v>
      </c>
      <c r="F780" s="243">
        <v>4268998.2670342531</v>
      </c>
      <c r="G780" s="243" t="s">
        <v>810</v>
      </c>
      <c r="H780" s="151">
        <f t="shared" si="27"/>
        <v>1.6488870012740797E-3</v>
      </c>
      <c r="J780" s="147">
        <v>215.56</v>
      </c>
      <c r="K780" s="147">
        <v>233.54</v>
      </c>
      <c r="L780" s="147">
        <v>212.27510000000001</v>
      </c>
      <c r="M780" s="147">
        <v>231.89</v>
      </c>
      <c r="N780" s="147">
        <v>678506</v>
      </c>
      <c r="O780" s="147" t="s">
        <v>810</v>
      </c>
      <c r="P780" s="151">
        <f t="shared" si="28"/>
        <v>-7.0421320453663339E-2</v>
      </c>
    </row>
    <row r="781" spans="2:16" ht="14.25" customHeight="1">
      <c r="B781" s="243">
        <v>391.08365469538018</v>
      </c>
      <c r="C781" s="243">
        <v>393.47380627702711</v>
      </c>
      <c r="D781" s="243">
        <v>389.26900067693714</v>
      </c>
      <c r="E781" s="243">
        <v>389.64368632446991</v>
      </c>
      <c r="F781" s="243">
        <v>3358247.9293924696</v>
      </c>
      <c r="G781" s="243" t="s">
        <v>811</v>
      </c>
      <c r="H781" s="151">
        <f t="shared" si="27"/>
        <v>3.6956029866506146E-3</v>
      </c>
      <c r="J781" s="147">
        <v>232.9</v>
      </c>
      <c r="K781" s="147">
        <v>235.75</v>
      </c>
      <c r="L781" s="147">
        <v>225.42</v>
      </c>
      <c r="M781" s="147">
        <v>225.42</v>
      </c>
      <c r="N781" s="147">
        <v>360323</v>
      </c>
      <c r="O781" s="147" t="s">
        <v>811</v>
      </c>
      <c r="P781" s="151">
        <f t="shared" si="28"/>
        <v>3.3182503770739169E-2</v>
      </c>
    </row>
    <row r="782" spans="2:16" ht="14.25" customHeight="1">
      <c r="B782" s="243">
        <v>389.07553553866859</v>
      </c>
      <c r="C782" s="243">
        <v>389.56532069884213</v>
      </c>
      <c r="D782" s="243">
        <v>384.29523237537467</v>
      </c>
      <c r="E782" s="243">
        <v>384.77522183234476</v>
      </c>
      <c r="F782" s="243">
        <v>3021224.6517955987</v>
      </c>
      <c r="G782" s="243" t="s">
        <v>812</v>
      </c>
      <c r="H782" s="151">
        <f t="shared" si="27"/>
        <v>1.1176171079429809E-2</v>
      </c>
      <c r="J782" s="147">
        <v>223.07</v>
      </c>
      <c r="K782" s="147">
        <v>223.66499999999999</v>
      </c>
      <c r="L782" s="147">
        <v>217.19</v>
      </c>
      <c r="M782" s="147">
        <v>223.05</v>
      </c>
      <c r="N782" s="147">
        <v>296141</v>
      </c>
      <c r="O782" s="147" t="s">
        <v>812</v>
      </c>
      <c r="P782" s="151">
        <f t="shared" si="28"/>
        <v>8.9665994171594932E-5</v>
      </c>
    </row>
    <row r="783" spans="2:16" ht="14.25" customHeight="1">
      <c r="B783" s="243">
        <v>386.49926559615568</v>
      </c>
      <c r="C783" s="243">
        <v>387.99311033468501</v>
      </c>
      <c r="D783" s="243">
        <v>378.51615931345486</v>
      </c>
      <c r="E783" s="243">
        <v>379.76961749537105</v>
      </c>
      <c r="F783" s="243">
        <v>4999354.2048769658</v>
      </c>
      <c r="G783" s="243" t="s">
        <v>813</v>
      </c>
      <c r="H783" s="151">
        <f t="shared" si="27"/>
        <v>1.7720343573473629E-2</v>
      </c>
      <c r="J783" s="147">
        <v>225.45</v>
      </c>
      <c r="K783" s="147">
        <v>226.96</v>
      </c>
      <c r="L783" s="147">
        <v>219.79</v>
      </c>
      <c r="M783" s="147">
        <v>221.4</v>
      </c>
      <c r="N783" s="147">
        <v>393414</v>
      </c>
      <c r="O783" s="147" t="s">
        <v>813</v>
      </c>
      <c r="P783" s="151">
        <f t="shared" si="28"/>
        <v>1.8292682926829285E-2</v>
      </c>
    </row>
    <row r="784" spans="2:16" ht="14.25" customHeight="1">
      <c r="B784" s="243">
        <v>381.94426360654165</v>
      </c>
      <c r="C784" s="243">
        <v>382.80520796109471</v>
      </c>
      <c r="D784" s="243">
        <v>379.04473545831416</v>
      </c>
      <c r="E784" s="243">
        <v>381.92467220013464</v>
      </c>
      <c r="F784" s="243">
        <v>3398521.7098251195</v>
      </c>
      <c r="G784" s="243" t="s">
        <v>814</v>
      </c>
      <c r="H784" s="151">
        <f t="shared" si="27"/>
        <v>5.1296519531396356E-5</v>
      </c>
      <c r="J784" s="147">
        <v>222.62</v>
      </c>
      <c r="K784" s="147">
        <v>233.04</v>
      </c>
      <c r="L784" s="147">
        <v>221.51</v>
      </c>
      <c r="M784" s="147">
        <v>231.9</v>
      </c>
      <c r="N784" s="147">
        <v>409419</v>
      </c>
      <c r="O784" s="147" t="s">
        <v>814</v>
      </c>
      <c r="P784" s="151">
        <f t="shared" si="28"/>
        <v>-4.0017248814144035E-2</v>
      </c>
    </row>
    <row r="785" spans="2:16" ht="14.25" customHeight="1">
      <c r="B785" s="243">
        <v>382.26752181225618</v>
      </c>
      <c r="C785" s="243">
        <v>382.86505970766791</v>
      </c>
      <c r="D785" s="243">
        <v>378.50597178212325</v>
      </c>
      <c r="E785" s="243">
        <v>379.80880030818491</v>
      </c>
      <c r="F785" s="243">
        <v>4424123.4243033649</v>
      </c>
      <c r="G785" s="243" t="s">
        <v>815</v>
      </c>
      <c r="H785" s="151">
        <f t="shared" si="27"/>
        <v>6.4735769736672388E-3</v>
      </c>
      <c r="J785" s="147">
        <v>231.05</v>
      </c>
      <c r="K785" s="147">
        <v>233.84</v>
      </c>
      <c r="L785" s="147">
        <v>226.74</v>
      </c>
      <c r="M785" s="147">
        <v>233.84</v>
      </c>
      <c r="N785" s="147">
        <v>582318</v>
      </c>
      <c r="O785" s="147" t="s">
        <v>815</v>
      </c>
      <c r="P785" s="151">
        <f t="shared" si="28"/>
        <v>-1.193123503250082E-2</v>
      </c>
    </row>
    <row r="786" spans="2:16" ht="14.25" customHeight="1">
      <c r="B786" s="243">
        <v>379.47574639926688</v>
      </c>
      <c r="C786" s="243">
        <v>383.92299565364277</v>
      </c>
      <c r="D786" s="243">
        <v>378.14353076359481</v>
      </c>
      <c r="E786" s="243">
        <v>382.60057572117415</v>
      </c>
      <c r="F786" s="243">
        <v>7030289.5636524763</v>
      </c>
      <c r="G786" s="243" t="s">
        <v>816</v>
      </c>
      <c r="H786" s="151">
        <f t="shared" si="27"/>
        <v>-8.167340877669127E-3</v>
      </c>
      <c r="J786" s="147">
        <v>232.69</v>
      </c>
      <c r="K786" s="147">
        <v>237.47</v>
      </c>
      <c r="L786" s="147">
        <v>231.05</v>
      </c>
      <c r="M786" s="147">
        <v>236.28</v>
      </c>
      <c r="N786" s="147">
        <v>319183</v>
      </c>
      <c r="O786" s="147" t="s">
        <v>816</v>
      </c>
      <c r="P786" s="151">
        <f t="shared" si="28"/>
        <v>-1.5193837819536204E-2</v>
      </c>
    </row>
    <row r="787" spans="2:16" ht="14.25" customHeight="1">
      <c r="B787" s="243">
        <v>384.64787769069966</v>
      </c>
      <c r="C787" s="243">
        <v>385.71551138284599</v>
      </c>
      <c r="D787" s="243">
        <v>382.00303782576248</v>
      </c>
      <c r="E787" s="243">
        <v>383.89360854403236</v>
      </c>
      <c r="F787" s="243">
        <v>6008913.1711485982</v>
      </c>
      <c r="G787" s="243" t="s">
        <v>817</v>
      </c>
      <c r="H787" s="151">
        <f t="shared" si="27"/>
        <v>1.964786935442886E-3</v>
      </c>
      <c r="J787" s="147">
        <v>238.63</v>
      </c>
      <c r="K787" s="147">
        <v>241.03</v>
      </c>
      <c r="L787" s="147">
        <v>236.13</v>
      </c>
      <c r="M787" s="147">
        <v>240.99</v>
      </c>
      <c r="N787" s="147">
        <v>303906</v>
      </c>
      <c r="O787" s="147" t="s">
        <v>817</v>
      </c>
      <c r="P787" s="151">
        <f t="shared" si="28"/>
        <v>-9.7929374662849566E-3</v>
      </c>
    </row>
    <row r="788" spans="2:16" ht="14.25" customHeight="1">
      <c r="B788" s="243">
        <v>384.67726480031007</v>
      </c>
      <c r="C788" s="243">
        <v>388.63472889451236</v>
      </c>
      <c r="D788" s="243">
        <v>383.30586635182414</v>
      </c>
      <c r="E788" s="243">
        <v>388.51718045607072</v>
      </c>
      <c r="F788" s="243">
        <v>5886851.490107025</v>
      </c>
      <c r="G788" s="243" t="s">
        <v>818</v>
      </c>
      <c r="H788" s="151">
        <f t="shared" si="27"/>
        <v>-9.8835157077302727E-3</v>
      </c>
      <c r="J788" s="147">
        <v>241.91</v>
      </c>
      <c r="K788" s="147">
        <v>248.33</v>
      </c>
      <c r="L788" s="147">
        <v>241.09</v>
      </c>
      <c r="M788" s="147">
        <v>248.33</v>
      </c>
      <c r="N788" s="147">
        <v>287649</v>
      </c>
      <c r="O788" s="147" t="s">
        <v>818</v>
      </c>
      <c r="P788" s="151">
        <f t="shared" si="28"/>
        <v>-2.585269600934248E-2</v>
      </c>
    </row>
    <row r="789" spans="2:16" ht="14.25" customHeight="1">
      <c r="B789" s="243">
        <v>385.59806090143633</v>
      </c>
      <c r="C789" s="243">
        <v>387.1947605236021</v>
      </c>
      <c r="D789" s="243">
        <v>382.35568314108741</v>
      </c>
      <c r="E789" s="243">
        <v>382.88465111407487</v>
      </c>
      <c r="F789" s="243">
        <v>4150569.8116285275</v>
      </c>
      <c r="G789" s="243" t="s">
        <v>819</v>
      </c>
      <c r="H789" s="151">
        <f t="shared" si="27"/>
        <v>7.0867551871465206E-3</v>
      </c>
      <c r="J789" s="147">
        <v>246.8</v>
      </c>
      <c r="K789" s="147">
        <v>248.35</v>
      </c>
      <c r="L789" s="147">
        <v>241.66</v>
      </c>
      <c r="M789" s="147">
        <v>241.69</v>
      </c>
      <c r="N789" s="147">
        <v>235923</v>
      </c>
      <c r="O789" s="147" t="s">
        <v>819</v>
      </c>
      <c r="P789" s="151">
        <f t="shared" si="28"/>
        <v>2.1142786213744991E-2</v>
      </c>
    </row>
    <row r="790" spans="2:16" ht="14.25" customHeight="1">
      <c r="B790" s="243">
        <v>383.36219164524408</v>
      </c>
      <c r="C790" s="243">
        <v>384.86499876025914</v>
      </c>
      <c r="D790" s="243">
        <v>380.04430580689905</v>
      </c>
      <c r="E790" s="243">
        <v>384.32828193346802</v>
      </c>
      <c r="F790" s="243">
        <v>4957425.903540004</v>
      </c>
      <c r="G790" s="243" t="s">
        <v>820</v>
      </c>
      <c r="H790" s="151">
        <f t="shared" si="27"/>
        <v>-2.5137111517365973E-3</v>
      </c>
      <c r="J790" s="147">
        <v>240.69</v>
      </c>
      <c r="K790" s="147">
        <v>250.14500000000001</v>
      </c>
      <c r="L790" s="147">
        <v>239.87</v>
      </c>
      <c r="M790" s="147">
        <v>247.13</v>
      </c>
      <c r="N790" s="147">
        <v>247041</v>
      </c>
      <c r="O790" s="147" t="s">
        <v>820</v>
      </c>
      <c r="P790" s="151">
        <f t="shared" si="28"/>
        <v>-2.6059159147007627E-2</v>
      </c>
    </row>
    <row r="791" spans="2:16" ht="14.25" customHeight="1">
      <c r="B791" s="243">
        <v>383.27436525540548</v>
      </c>
      <c r="C791" s="243">
        <v>386.78742084894725</v>
      </c>
      <c r="D791" s="243">
        <v>382.49368623461845</v>
      </c>
      <c r="E791" s="243">
        <v>386.16287763231765</v>
      </c>
      <c r="F791" s="243">
        <v>5876662.5947943795</v>
      </c>
      <c r="G791" s="243" t="s">
        <v>821</v>
      </c>
      <c r="H791" s="151">
        <f t="shared" si="27"/>
        <v>-7.4800363893663402E-3</v>
      </c>
      <c r="J791" s="147">
        <v>245.61</v>
      </c>
      <c r="K791" s="147">
        <v>248.09</v>
      </c>
      <c r="L791" s="147">
        <v>244.01</v>
      </c>
      <c r="M791" s="147">
        <v>245.05</v>
      </c>
      <c r="N791" s="147">
        <v>158825</v>
      </c>
      <c r="O791" s="147" t="s">
        <v>821</v>
      </c>
      <c r="P791" s="151">
        <f t="shared" si="28"/>
        <v>2.2852479085901933E-3</v>
      </c>
    </row>
    <row r="792" spans="2:16" ht="14.25" customHeight="1">
      <c r="B792" s="243">
        <v>388.98308059491086</v>
      </c>
      <c r="C792" s="243">
        <v>389.01157537916959</v>
      </c>
      <c r="D792" s="243">
        <v>385.82133056072325</v>
      </c>
      <c r="E792" s="243">
        <v>386.20191158335695</v>
      </c>
      <c r="F792" s="243">
        <v>3307787.1074293554</v>
      </c>
      <c r="G792" s="243" t="s">
        <v>822</v>
      </c>
      <c r="H792" s="151">
        <f t="shared" si="27"/>
        <v>7.2013341419041588E-3</v>
      </c>
      <c r="J792" s="147">
        <v>247.16</v>
      </c>
      <c r="K792" s="147">
        <v>249.79750000000001</v>
      </c>
      <c r="L792" s="147">
        <v>245.58</v>
      </c>
      <c r="M792" s="147">
        <v>246.48</v>
      </c>
      <c r="N792" s="147">
        <v>150811</v>
      </c>
      <c r="O792" s="147" t="s">
        <v>822</v>
      </c>
      <c r="P792" s="151">
        <f t="shared" si="28"/>
        <v>2.7588445309965071E-3</v>
      </c>
    </row>
    <row r="793" spans="2:16" ht="14.25" customHeight="1">
      <c r="B793" s="243">
        <v>387.37293011453755</v>
      </c>
      <c r="C793" s="243">
        <v>390.65763709449914</v>
      </c>
      <c r="D793" s="243">
        <v>386.9777113602641</v>
      </c>
      <c r="E793" s="243">
        <v>389.16361261846788</v>
      </c>
      <c r="F793" s="243">
        <v>7384881.9380181106</v>
      </c>
      <c r="G793" s="243" t="s">
        <v>823</v>
      </c>
      <c r="H793" s="151">
        <f t="shared" si="27"/>
        <v>-4.6013616018255599E-3</v>
      </c>
      <c r="J793" s="147">
        <v>247.53</v>
      </c>
      <c r="K793" s="147">
        <v>252.02500000000001</v>
      </c>
      <c r="L793" s="147">
        <v>245</v>
      </c>
      <c r="M793" s="147">
        <v>251.19</v>
      </c>
      <c r="N793" s="147">
        <v>263537</v>
      </c>
      <c r="O793" s="147" t="s">
        <v>823</v>
      </c>
      <c r="P793" s="151">
        <f t="shared" si="28"/>
        <v>-1.4570643735817512E-2</v>
      </c>
    </row>
    <row r="794" spans="2:16" ht="14.25" customHeight="1">
      <c r="B794" s="243">
        <v>388.30974493948202</v>
      </c>
      <c r="C794" s="243">
        <v>392.34000038429519</v>
      </c>
      <c r="D794" s="243">
        <v>388.08529972100575</v>
      </c>
      <c r="E794" s="243">
        <v>392.09603819029928</v>
      </c>
      <c r="F794" s="243">
        <v>4747804.284868842</v>
      </c>
      <c r="G794" s="243" t="s">
        <v>824</v>
      </c>
      <c r="H794" s="151">
        <f t="shared" si="27"/>
        <v>-9.656545545047357E-3</v>
      </c>
      <c r="J794" s="147">
        <v>250.36</v>
      </c>
      <c r="K794" s="147">
        <v>260.33999999999997</v>
      </c>
      <c r="L794" s="147">
        <v>249.67500000000001</v>
      </c>
      <c r="M794" s="147">
        <v>260.33999999999997</v>
      </c>
      <c r="N794" s="147">
        <v>248384</v>
      </c>
      <c r="O794" s="147" t="s">
        <v>824</v>
      </c>
      <c r="P794" s="151">
        <f t="shared" si="28"/>
        <v>-3.8334485672581908E-2</v>
      </c>
    </row>
    <row r="795" spans="2:16" ht="14.25" customHeight="1">
      <c r="B795" s="243">
        <v>394.77962232425477</v>
      </c>
      <c r="C795" s="243">
        <v>399.94186234920915</v>
      </c>
      <c r="D795" s="243">
        <v>394.56493559353828</v>
      </c>
      <c r="E795" s="243">
        <v>399.57103981433528</v>
      </c>
      <c r="F795" s="243">
        <v>4108643.7762427176</v>
      </c>
      <c r="G795" s="243" t="s">
        <v>825</v>
      </c>
      <c r="H795" s="151">
        <f t="shared" si="27"/>
        <v>-1.1991403311678694E-2</v>
      </c>
      <c r="J795" s="147">
        <v>262.43</v>
      </c>
      <c r="K795" s="147">
        <v>265.2</v>
      </c>
      <c r="L795" s="147">
        <v>261.5</v>
      </c>
      <c r="M795" s="147">
        <v>265.07</v>
      </c>
      <c r="N795" s="147">
        <v>248919</v>
      </c>
      <c r="O795" s="147" t="s">
        <v>825</v>
      </c>
      <c r="P795" s="151">
        <f t="shared" si="28"/>
        <v>-9.959633304410076E-3</v>
      </c>
    </row>
    <row r="796" spans="2:16" ht="14.25" customHeight="1">
      <c r="B796" s="243">
        <v>398.50736464851298</v>
      </c>
      <c r="C796" s="243">
        <v>398.93185886606591</v>
      </c>
      <c r="D796" s="243">
        <v>395.91160690439597</v>
      </c>
      <c r="E796" s="243">
        <v>398.36098733211543</v>
      </c>
      <c r="F796" s="243">
        <v>3719606.0386923924</v>
      </c>
      <c r="G796" s="243" t="s">
        <v>826</v>
      </c>
      <c r="H796" s="151">
        <f t="shared" si="27"/>
        <v>3.6744892459950051E-4</v>
      </c>
      <c r="J796" s="147">
        <v>262.7</v>
      </c>
      <c r="K796" s="147">
        <v>263.83999999999997</v>
      </c>
      <c r="L796" s="147">
        <v>260</v>
      </c>
      <c r="M796" s="147">
        <v>260.87</v>
      </c>
      <c r="N796" s="147">
        <v>261492</v>
      </c>
      <c r="O796" s="147" t="s">
        <v>826</v>
      </c>
      <c r="P796" s="151">
        <f t="shared" si="28"/>
        <v>7.0149883083527875E-3</v>
      </c>
    </row>
    <row r="797" spans="2:16" ht="14.25" customHeight="1">
      <c r="B797" s="243">
        <v>399.30756064481966</v>
      </c>
      <c r="C797" s="243">
        <v>400.42978673720103</v>
      </c>
      <c r="D797" s="243">
        <v>398.30243640555636</v>
      </c>
      <c r="E797" s="243">
        <v>398.71229289146953</v>
      </c>
      <c r="F797" s="243">
        <v>3089178.4405435175</v>
      </c>
      <c r="G797" s="243" t="s">
        <v>827</v>
      </c>
      <c r="H797" s="151">
        <f t="shared" si="27"/>
        <v>1.4929756718391474E-3</v>
      </c>
      <c r="J797" s="147">
        <v>262.25</v>
      </c>
      <c r="K797" s="147">
        <v>268.06</v>
      </c>
      <c r="L797" s="147">
        <v>261.19</v>
      </c>
      <c r="M797" s="147">
        <v>265.83999999999997</v>
      </c>
      <c r="N797" s="147">
        <v>310107</v>
      </c>
      <c r="O797" s="147" t="s">
        <v>827</v>
      </c>
      <c r="P797" s="151">
        <f t="shared" si="28"/>
        <v>-1.3504363526933405E-2</v>
      </c>
    </row>
    <row r="798" spans="2:16" ht="14.25" customHeight="1">
      <c r="B798" s="243">
        <v>398.86842869562696</v>
      </c>
      <c r="C798" s="243">
        <v>402.70351438524341</v>
      </c>
      <c r="D798" s="243">
        <v>398.61470801387117</v>
      </c>
      <c r="E798" s="243">
        <v>402.38148428916867</v>
      </c>
      <c r="F798" s="243">
        <v>4103125.5031941393</v>
      </c>
      <c r="G798" s="243" t="s">
        <v>828</v>
      </c>
      <c r="H798" s="151">
        <f t="shared" si="27"/>
        <v>-8.7306591647667853E-3</v>
      </c>
      <c r="J798" s="147">
        <v>267.58999999999997</v>
      </c>
      <c r="K798" s="147">
        <v>269.43040000000002</v>
      </c>
      <c r="L798" s="147">
        <v>262.85000000000002</v>
      </c>
      <c r="M798" s="147">
        <v>268.70999999999998</v>
      </c>
      <c r="N798" s="147">
        <v>614402</v>
      </c>
      <c r="O798" s="147" t="s">
        <v>828</v>
      </c>
      <c r="P798" s="151">
        <f t="shared" si="28"/>
        <v>-4.1680622232146414E-3</v>
      </c>
    </row>
    <row r="799" spans="2:16" ht="14.25" customHeight="1">
      <c r="B799" s="243">
        <v>403.90380837970343</v>
      </c>
      <c r="C799" s="243">
        <v>404.49907613305362</v>
      </c>
      <c r="D799" s="243">
        <v>401.48370341526362</v>
      </c>
      <c r="E799" s="243">
        <v>402.70351438524341</v>
      </c>
      <c r="F799" s="243">
        <v>3751504.4237353187</v>
      </c>
      <c r="G799" s="243" t="s">
        <v>829</v>
      </c>
      <c r="H799" s="151">
        <f t="shared" si="27"/>
        <v>2.9805898175294665E-3</v>
      </c>
      <c r="J799" s="147">
        <v>269.45999999999998</v>
      </c>
      <c r="K799" s="147">
        <v>282.11</v>
      </c>
      <c r="L799" s="147">
        <v>269.33</v>
      </c>
      <c r="M799" s="147">
        <v>279.77</v>
      </c>
      <c r="N799" s="147">
        <v>396500</v>
      </c>
      <c r="O799" s="147" t="s">
        <v>829</v>
      </c>
      <c r="P799" s="151">
        <f t="shared" si="28"/>
        <v>-3.6851699610394251E-2</v>
      </c>
    </row>
    <row r="800" spans="2:16" ht="14.25" customHeight="1">
      <c r="B800" s="243">
        <v>400.43954522496091</v>
      </c>
      <c r="C800" s="243">
        <v>401.46418643974391</v>
      </c>
      <c r="D800" s="243">
        <v>399.11239088962293</v>
      </c>
      <c r="E800" s="243">
        <v>400.12727361664605</v>
      </c>
      <c r="F800" s="243">
        <v>2592356.5846046028</v>
      </c>
      <c r="G800" s="243" t="s">
        <v>830</v>
      </c>
      <c r="H800" s="151">
        <f t="shared" si="27"/>
        <v>7.8043070019284677E-4</v>
      </c>
      <c r="J800" s="147">
        <v>279.26</v>
      </c>
      <c r="K800" s="147">
        <v>292.26</v>
      </c>
      <c r="L800" s="147">
        <v>278.315</v>
      </c>
      <c r="M800" s="147">
        <v>288.55</v>
      </c>
      <c r="N800" s="147">
        <v>392986</v>
      </c>
      <c r="O800" s="147" t="s">
        <v>830</v>
      </c>
      <c r="P800" s="151">
        <f t="shared" si="28"/>
        <v>-3.2195460058915382E-2</v>
      </c>
    </row>
    <row r="801" spans="2:16" ht="14.25" customHeight="1">
      <c r="B801" s="243">
        <v>399.97113781248868</v>
      </c>
      <c r="C801" s="243">
        <v>402.19607302173176</v>
      </c>
      <c r="D801" s="243">
        <v>399.40514552241808</v>
      </c>
      <c r="E801" s="243">
        <v>400.78109229655524</v>
      </c>
      <c r="F801" s="243">
        <v>7783271.5344061935</v>
      </c>
      <c r="G801" s="243" t="s">
        <v>831</v>
      </c>
      <c r="H801" s="151">
        <f t="shared" si="27"/>
        <v>-2.020939858777715E-3</v>
      </c>
      <c r="J801" s="147">
        <v>290.22000000000003</v>
      </c>
      <c r="K801" s="147">
        <v>298.97000000000003</v>
      </c>
      <c r="L801" s="147">
        <v>288.06</v>
      </c>
      <c r="M801" s="147">
        <v>298.97000000000003</v>
      </c>
      <c r="N801" s="147">
        <v>402300</v>
      </c>
      <c r="O801" s="147" t="s">
        <v>831</v>
      </c>
      <c r="P801" s="151">
        <f t="shared" si="28"/>
        <v>-2.9267150550222443E-2</v>
      </c>
    </row>
    <row r="802" spans="2:16" ht="14.25" customHeight="1">
      <c r="B802" s="243">
        <v>402.12776360741293</v>
      </c>
      <c r="C802" s="243">
        <v>402.42051824020808</v>
      </c>
      <c r="D802" s="243">
        <v>400.3809942984019</v>
      </c>
      <c r="E802" s="243">
        <v>401.93259385221614</v>
      </c>
      <c r="F802" s="243">
        <v>3429386.8910437454</v>
      </c>
      <c r="G802" s="243" t="s">
        <v>832</v>
      </c>
      <c r="H802" s="151">
        <f t="shared" si="27"/>
        <v>4.8557832378359755E-4</v>
      </c>
      <c r="J802" s="147">
        <v>300.02</v>
      </c>
      <c r="K802" s="147">
        <v>302</v>
      </c>
      <c r="L802" s="147">
        <v>293.80360000000002</v>
      </c>
      <c r="M802" s="147">
        <v>294.69</v>
      </c>
      <c r="N802" s="147">
        <v>433085</v>
      </c>
      <c r="O802" s="147" t="s">
        <v>832</v>
      </c>
      <c r="P802" s="151">
        <f t="shared" si="28"/>
        <v>1.8086803081204028E-2</v>
      </c>
    </row>
    <row r="803" spans="2:16" ht="14.25" customHeight="1">
      <c r="B803" s="243">
        <v>399.50273040001645</v>
      </c>
      <c r="C803" s="243">
        <v>400.91771112519297</v>
      </c>
      <c r="D803" s="243">
        <v>398.62446650163099</v>
      </c>
      <c r="E803" s="243">
        <v>398.94649659770567</v>
      </c>
      <c r="F803" s="243">
        <v>4227317.901629867</v>
      </c>
      <c r="G803" s="243" t="s">
        <v>833</v>
      </c>
      <c r="H803" s="151">
        <f t="shared" si="27"/>
        <v>1.3942566410645174E-3</v>
      </c>
      <c r="J803" s="147">
        <v>292.98</v>
      </c>
      <c r="K803" s="147">
        <v>294</v>
      </c>
      <c r="L803" s="147">
        <v>283.46499999999997</v>
      </c>
      <c r="M803" s="147">
        <v>288.66000000000003</v>
      </c>
      <c r="N803" s="147">
        <v>841023</v>
      </c>
      <c r="O803" s="147" t="s">
        <v>833</v>
      </c>
      <c r="P803" s="151">
        <f t="shared" si="28"/>
        <v>1.4965703595926083E-2</v>
      </c>
    </row>
    <row r="804" spans="2:16" ht="14.25" customHeight="1">
      <c r="B804" s="243">
        <v>398.9562550854655</v>
      </c>
      <c r="C804" s="243">
        <v>399.5417643510558</v>
      </c>
      <c r="D804" s="243">
        <v>397.02895375289745</v>
      </c>
      <c r="E804" s="243">
        <v>397.33634611733237</v>
      </c>
      <c r="F804" s="243">
        <v>2301339.1575307297</v>
      </c>
      <c r="G804" s="243" t="s">
        <v>834</v>
      </c>
      <c r="H804" s="151">
        <f t="shared" si="27"/>
        <v>4.0769211877103029E-3</v>
      </c>
      <c r="J804" s="147">
        <v>289.52999999999997</v>
      </c>
      <c r="K804" s="147">
        <v>291.38</v>
      </c>
      <c r="L804" s="147">
        <v>277.86</v>
      </c>
      <c r="M804" s="147">
        <v>277.86</v>
      </c>
      <c r="N804" s="147">
        <v>683289</v>
      </c>
      <c r="O804" s="147" t="s">
        <v>834</v>
      </c>
      <c r="P804" s="151">
        <f t="shared" si="28"/>
        <v>4.1999568127834008E-2</v>
      </c>
    </row>
    <row r="805" spans="2:16" ht="14.25" customHeight="1">
      <c r="B805" s="243">
        <v>400.14679059216576</v>
      </c>
      <c r="C805" s="243">
        <v>402.17655604621211</v>
      </c>
      <c r="D805" s="243">
        <v>397.98040630948168</v>
      </c>
      <c r="E805" s="243">
        <v>402.14728058293264</v>
      </c>
      <c r="F805" s="243">
        <v>3836729.7189314449</v>
      </c>
      <c r="G805" s="243" t="s">
        <v>835</v>
      </c>
      <c r="H805" s="151">
        <f t="shared" si="27"/>
        <v>-4.9745207473915753E-3</v>
      </c>
      <c r="J805" s="147">
        <v>279.06</v>
      </c>
      <c r="K805" s="147">
        <v>281.47000000000003</v>
      </c>
      <c r="L805" s="147">
        <v>265.44</v>
      </c>
      <c r="M805" s="147">
        <v>265.44</v>
      </c>
      <c r="N805" s="147">
        <v>510505</v>
      </c>
      <c r="O805" s="147" t="s">
        <v>835</v>
      </c>
      <c r="P805" s="151">
        <f t="shared" si="28"/>
        <v>5.1311030741410413E-2</v>
      </c>
    </row>
    <row r="806" spans="2:16" ht="14.25" customHeight="1">
      <c r="B806" s="243">
        <v>402.92795960371961</v>
      </c>
      <c r="C806" s="243">
        <v>404.46004218201426</v>
      </c>
      <c r="D806" s="243">
        <v>402.80109926284172</v>
      </c>
      <c r="E806" s="243">
        <v>404.19656301249859</v>
      </c>
      <c r="F806" s="243">
        <v>4536242.8164519137</v>
      </c>
      <c r="G806" s="243" t="s">
        <v>836</v>
      </c>
      <c r="H806" s="151">
        <f t="shared" si="27"/>
        <v>-3.1385803959439462E-3</v>
      </c>
      <c r="J806" s="147">
        <v>262.10000000000002</v>
      </c>
      <c r="K806" s="147">
        <v>264.41000000000003</v>
      </c>
      <c r="L806" s="147">
        <v>258.435</v>
      </c>
      <c r="M806" s="147">
        <v>263.07</v>
      </c>
      <c r="N806" s="147">
        <v>315379</v>
      </c>
      <c r="O806" s="147" t="s">
        <v>836</v>
      </c>
      <c r="P806" s="151">
        <f t="shared" si="28"/>
        <v>-3.6872315353326801E-3</v>
      </c>
    </row>
    <row r="807" spans="2:16" ht="14.25" customHeight="1">
      <c r="B807" s="243">
        <v>404.69424588825035</v>
      </c>
      <c r="C807" s="243">
        <v>406.81183773213525</v>
      </c>
      <c r="D807" s="243">
        <v>403.23047272427465</v>
      </c>
      <c r="E807" s="243">
        <v>406.40198124622202</v>
      </c>
      <c r="F807" s="243">
        <v>3676769.4834506679</v>
      </c>
      <c r="G807" s="243" t="s">
        <v>837</v>
      </c>
      <c r="H807" s="151">
        <f t="shared" si="27"/>
        <v>-4.2020842337798792E-3</v>
      </c>
      <c r="J807" s="147">
        <v>264.12</v>
      </c>
      <c r="K807" s="147">
        <v>267.37</v>
      </c>
      <c r="L807" s="147">
        <v>262.62</v>
      </c>
      <c r="M807" s="147">
        <v>266.62</v>
      </c>
      <c r="N807" s="147">
        <v>229067</v>
      </c>
      <c r="O807" s="147" t="s">
        <v>837</v>
      </c>
      <c r="P807" s="151">
        <f t="shared" si="28"/>
        <v>-9.3766409121596173E-3</v>
      </c>
    </row>
    <row r="808" spans="2:16" ht="14.25" customHeight="1">
      <c r="B808" s="243">
        <v>403.8354989653846</v>
      </c>
      <c r="C808" s="243">
        <v>406.07019266238757</v>
      </c>
      <c r="D808" s="243">
        <v>403.6696046734674</v>
      </c>
      <c r="E808" s="243">
        <v>404.95967675531801</v>
      </c>
      <c r="F808" s="243">
        <v>4868716.4619436599</v>
      </c>
      <c r="G808" s="243" t="s">
        <v>838</v>
      </c>
      <c r="H808" s="151">
        <f t="shared" si="27"/>
        <v>-2.7760240203190678E-3</v>
      </c>
      <c r="J808" s="147">
        <v>264.5</v>
      </c>
      <c r="K808" s="147">
        <v>268.51</v>
      </c>
      <c r="L808" s="147">
        <v>262.44499999999999</v>
      </c>
      <c r="M808" s="147">
        <v>264.08</v>
      </c>
      <c r="N808" s="147">
        <v>358066</v>
      </c>
      <c r="O808" s="147" t="s">
        <v>838</v>
      </c>
      <c r="P808" s="151">
        <f t="shared" si="28"/>
        <v>1.5904271432900519E-3</v>
      </c>
    </row>
    <row r="809" spans="2:16" ht="14.25" customHeight="1">
      <c r="B809" s="243">
        <v>404.35269881665607</v>
      </c>
      <c r="C809" s="243">
        <v>405.0057368175444</v>
      </c>
      <c r="D809" s="243">
        <v>402.44003521572773</v>
      </c>
      <c r="E809" s="243">
        <v>403.05481994459751</v>
      </c>
      <c r="F809" s="243">
        <v>3078874.5899393465</v>
      </c>
      <c r="G809" s="243" t="s">
        <v>839</v>
      </c>
      <c r="H809" s="151">
        <f t="shared" si="27"/>
        <v>3.2201050771132333E-3</v>
      </c>
      <c r="J809" s="147">
        <v>263.94</v>
      </c>
      <c r="K809" s="147">
        <v>266.82</v>
      </c>
      <c r="L809" s="147">
        <v>259.04000000000002</v>
      </c>
      <c r="M809" s="147">
        <v>259.25</v>
      </c>
      <c r="N809" s="147">
        <v>253273</v>
      </c>
      <c r="O809" s="147" t="s">
        <v>839</v>
      </c>
      <c r="P809" s="151">
        <f t="shared" si="28"/>
        <v>1.8090646094503393E-2</v>
      </c>
    </row>
    <row r="810" spans="2:16" ht="14.25" customHeight="1">
      <c r="B810" s="243">
        <v>402.67423892196388</v>
      </c>
      <c r="C810" s="243">
        <v>403.00602750579839</v>
      </c>
      <c r="D810" s="243">
        <v>396.75083685174206</v>
      </c>
      <c r="E810" s="243">
        <v>396.95576509469862</v>
      </c>
      <c r="F810" s="243">
        <v>3568856.2466954826</v>
      </c>
      <c r="G810" s="243" t="s">
        <v>840</v>
      </c>
      <c r="H810" s="151">
        <f t="shared" si="27"/>
        <v>1.4405821328482338E-2</v>
      </c>
      <c r="J810" s="147">
        <v>259.01</v>
      </c>
      <c r="K810" s="147">
        <v>259.36</v>
      </c>
      <c r="L810" s="147">
        <v>252.04</v>
      </c>
      <c r="M810" s="147">
        <v>252.04</v>
      </c>
      <c r="N810" s="147">
        <v>181353</v>
      </c>
      <c r="O810" s="147" t="s">
        <v>840</v>
      </c>
      <c r="P810" s="151">
        <f t="shared" si="28"/>
        <v>2.7654340580860248E-2</v>
      </c>
    </row>
    <row r="811" spans="2:16" ht="14.25" customHeight="1">
      <c r="B811" s="243">
        <v>397.03383299677739</v>
      </c>
      <c r="C811" s="243">
        <v>397.59982528684799</v>
      </c>
      <c r="D811" s="243">
        <v>395.3163391510459</v>
      </c>
      <c r="E811" s="243">
        <v>396.54590860878545</v>
      </c>
      <c r="F811" s="243">
        <v>3316816.1703506233</v>
      </c>
      <c r="G811" s="243" t="s">
        <v>841</v>
      </c>
      <c r="H811" s="151">
        <f t="shared" si="27"/>
        <v>1.2304360665420511E-3</v>
      </c>
      <c r="J811" s="147">
        <v>252.53</v>
      </c>
      <c r="K811" s="147">
        <v>256.875</v>
      </c>
      <c r="L811" s="147">
        <v>252.37</v>
      </c>
      <c r="M811" s="147">
        <v>253</v>
      </c>
      <c r="N811" s="147">
        <v>223849</v>
      </c>
      <c r="O811" s="147" t="s">
        <v>841</v>
      </c>
      <c r="P811" s="151">
        <f t="shared" si="28"/>
        <v>-1.8577075098814566E-3</v>
      </c>
    </row>
    <row r="812" spans="2:16" ht="14.25" customHeight="1">
      <c r="B812" s="243">
        <v>394.43807525266038</v>
      </c>
      <c r="C812" s="243">
        <v>395.99943329423456</v>
      </c>
      <c r="D812" s="243">
        <v>390.05651424849304</v>
      </c>
      <c r="E812" s="243">
        <v>393.34512462355855</v>
      </c>
      <c r="F812" s="243">
        <v>4527171.7388240546</v>
      </c>
      <c r="G812" s="243" t="s">
        <v>842</v>
      </c>
      <c r="H812" s="151">
        <f t="shared" si="27"/>
        <v>2.7786047434750216E-3</v>
      </c>
      <c r="J812" s="147">
        <v>251.43</v>
      </c>
      <c r="K812" s="147">
        <v>252.18</v>
      </c>
      <c r="L812" s="147">
        <v>247.29499999999999</v>
      </c>
      <c r="M812" s="147">
        <v>249.45</v>
      </c>
      <c r="N812" s="147">
        <v>185817</v>
      </c>
      <c r="O812" s="147" t="s">
        <v>842</v>
      </c>
      <c r="P812" s="151">
        <f t="shared" si="28"/>
        <v>7.9374624173180752E-3</v>
      </c>
    </row>
    <row r="813" spans="2:16" ht="14.25" customHeight="1">
      <c r="B813" s="243">
        <v>391.84231750854349</v>
      </c>
      <c r="C813" s="243">
        <v>399.1992414306855</v>
      </c>
      <c r="D813" s="243">
        <v>391.70569867990571</v>
      </c>
      <c r="E813" s="243">
        <v>398.73180986698924</v>
      </c>
      <c r="F813" s="243">
        <v>3544392.4152212543</v>
      </c>
      <c r="G813" s="243" t="s">
        <v>843</v>
      </c>
      <c r="H813" s="151">
        <f t="shared" si="27"/>
        <v>-1.7278511992168344E-2</v>
      </c>
      <c r="J813" s="147">
        <v>248.71</v>
      </c>
      <c r="K813" s="147">
        <v>254</v>
      </c>
      <c r="L813" s="147">
        <v>248.52</v>
      </c>
      <c r="M813" s="147">
        <v>253.46</v>
      </c>
      <c r="N813" s="147">
        <v>185023</v>
      </c>
      <c r="O813" s="147" t="s">
        <v>843</v>
      </c>
      <c r="P813" s="151">
        <f t="shared" si="28"/>
        <v>-1.8740629685157439E-2</v>
      </c>
    </row>
    <row r="814" spans="2:16" ht="14.25" customHeight="1">
      <c r="B814" s="243">
        <v>397.12165938661593</v>
      </c>
      <c r="C814" s="243">
        <v>397.82427050532431</v>
      </c>
      <c r="D814" s="243">
        <v>393.72570564619224</v>
      </c>
      <c r="E814" s="243">
        <v>393.81353203603078</v>
      </c>
      <c r="F814" s="243">
        <v>3330397.1680688797</v>
      </c>
      <c r="G814" s="243" t="s">
        <v>844</v>
      </c>
      <c r="H814" s="151">
        <f t="shared" si="27"/>
        <v>8.4002378828427204E-3</v>
      </c>
      <c r="J814" s="147">
        <v>252.88</v>
      </c>
      <c r="K814" s="147">
        <v>254.22499999999999</v>
      </c>
      <c r="L814" s="147">
        <v>250.2</v>
      </c>
      <c r="M814" s="147">
        <v>252.64</v>
      </c>
      <c r="N814" s="147">
        <v>207559</v>
      </c>
      <c r="O814" s="147" t="s">
        <v>844</v>
      </c>
      <c r="P814" s="151">
        <f t="shared" si="28"/>
        <v>9.499683343889842E-4</v>
      </c>
    </row>
    <row r="815" spans="2:16" ht="14.25" customHeight="1">
      <c r="B815" s="243">
        <v>392.88647569884614</v>
      </c>
      <c r="C815" s="243">
        <v>395.60909378384099</v>
      </c>
      <c r="D815" s="243">
        <v>392.34975887205502</v>
      </c>
      <c r="E815" s="243">
        <v>395.56030134504181</v>
      </c>
      <c r="F815" s="243">
        <v>2713587.4586001462</v>
      </c>
      <c r="G815" s="243" t="s">
        <v>845</v>
      </c>
      <c r="H815" s="151">
        <f t="shared" si="27"/>
        <v>-6.7595904773651849E-3</v>
      </c>
      <c r="J815" s="147">
        <v>252.44</v>
      </c>
      <c r="K815" s="147">
        <v>254.09</v>
      </c>
      <c r="L815" s="147">
        <v>247.77</v>
      </c>
      <c r="M815" s="147">
        <v>249.05</v>
      </c>
      <c r="N815" s="147">
        <v>347626</v>
      </c>
      <c r="O815" s="147" t="s">
        <v>845</v>
      </c>
      <c r="P815" s="151">
        <f t="shared" si="28"/>
        <v>1.3611724553302507E-2</v>
      </c>
    </row>
    <row r="816" spans="2:16" ht="14.25" customHeight="1">
      <c r="B816" s="243">
        <v>393.98918481570786</v>
      </c>
      <c r="C816" s="243">
        <v>394.62348652009734</v>
      </c>
      <c r="D816" s="243">
        <v>390.32975190576855</v>
      </c>
      <c r="E816" s="243">
        <v>392.42782677413373</v>
      </c>
      <c r="F816" s="243">
        <v>3373918.2556033526</v>
      </c>
      <c r="G816" s="243" t="s">
        <v>846</v>
      </c>
      <c r="H816" s="151">
        <f t="shared" si="27"/>
        <v>3.9787138807381162E-3</v>
      </c>
      <c r="J816" s="147">
        <v>248.71</v>
      </c>
      <c r="K816" s="147">
        <v>252.7</v>
      </c>
      <c r="L816" s="147">
        <v>246.69</v>
      </c>
      <c r="M816" s="147">
        <v>251.53</v>
      </c>
      <c r="N816" s="147">
        <v>328863</v>
      </c>
      <c r="O816" s="147" t="s">
        <v>846</v>
      </c>
      <c r="P816" s="151">
        <f t="shared" si="28"/>
        <v>-1.1211386315747585E-2</v>
      </c>
    </row>
    <row r="817" spans="2:16" ht="14.25" customHeight="1">
      <c r="B817" s="243">
        <v>391.40318555935073</v>
      </c>
      <c r="C817" s="243">
        <v>392.31072492101566</v>
      </c>
      <c r="D817" s="243">
        <v>388.24143552516318</v>
      </c>
      <c r="E817" s="243">
        <v>388.55370713347799</v>
      </c>
      <c r="F817" s="243">
        <v>4260564.8562794654</v>
      </c>
      <c r="G817" s="243" t="s">
        <v>847</v>
      </c>
      <c r="H817" s="151">
        <f t="shared" si="27"/>
        <v>7.3335509958056821E-3</v>
      </c>
      <c r="J817" s="147">
        <v>251.22</v>
      </c>
      <c r="K817" s="147">
        <v>253.92</v>
      </c>
      <c r="L817" s="147">
        <v>248.03</v>
      </c>
      <c r="M817" s="147">
        <v>253.61</v>
      </c>
      <c r="N817" s="147">
        <v>453990</v>
      </c>
      <c r="O817" s="147" t="s">
        <v>847</v>
      </c>
      <c r="P817" s="151">
        <f t="shared" si="28"/>
        <v>-9.423918615196647E-3</v>
      </c>
    </row>
    <row r="818" spans="2:16" ht="14.25" customHeight="1">
      <c r="B818" s="243">
        <v>391.04212151223675</v>
      </c>
      <c r="C818" s="243">
        <v>395.78474656351807</v>
      </c>
      <c r="D818" s="243">
        <v>390.70057444064236</v>
      </c>
      <c r="E818" s="243">
        <v>395.5407843695221</v>
      </c>
      <c r="F818" s="243">
        <v>7278283.4541545361</v>
      </c>
      <c r="G818" s="243" t="s">
        <v>848</v>
      </c>
      <c r="H818" s="151">
        <f t="shared" si="27"/>
        <v>-1.137344879480906E-2</v>
      </c>
      <c r="J818" s="147">
        <v>254.99</v>
      </c>
      <c r="K818" s="147">
        <v>259.11</v>
      </c>
      <c r="L818" s="147">
        <v>253.47</v>
      </c>
      <c r="M818" s="147">
        <v>255.63</v>
      </c>
      <c r="N818" s="147">
        <v>377084</v>
      </c>
      <c r="O818" s="147" t="s">
        <v>848</v>
      </c>
      <c r="P818" s="151">
        <f t="shared" si="28"/>
        <v>-2.5036185111293463E-3</v>
      </c>
    </row>
    <row r="819" spans="2:16" ht="14.25" customHeight="1">
      <c r="B819" s="243">
        <v>394.23314700970383</v>
      </c>
      <c r="C819" s="243">
        <v>398.25364396675718</v>
      </c>
      <c r="D819" s="243">
        <v>394.11604515658576</v>
      </c>
      <c r="E819" s="243">
        <v>396.77035382726172</v>
      </c>
      <c r="F819" s="243">
        <v>3436652.3610371388</v>
      </c>
      <c r="G819" s="243" t="s">
        <v>849</v>
      </c>
      <c r="H819" s="151">
        <f t="shared" si="27"/>
        <v>-6.3946481713764713E-3</v>
      </c>
      <c r="J819" s="147">
        <v>255.43</v>
      </c>
      <c r="K819" s="147">
        <v>261.3</v>
      </c>
      <c r="L819" s="147">
        <v>254.36250000000001</v>
      </c>
      <c r="M819" s="147">
        <v>259.95</v>
      </c>
      <c r="N819" s="147">
        <v>344664</v>
      </c>
      <c r="O819" s="147" t="s">
        <v>849</v>
      </c>
      <c r="P819" s="151">
        <f t="shared" si="28"/>
        <v>-1.7387959222927463E-2</v>
      </c>
    </row>
    <row r="820" spans="2:16" ht="14.25" customHeight="1">
      <c r="B820" s="243">
        <v>397.17045182541511</v>
      </c>
      <c r="C820" s="243">
        <v>401.76913918223886</v>
      </c>
      <c r="D820" s="243">
        <v>396.59470104758469</v>
      </c>
      <c r="E820" s="243">
        <v>400.18582454320511</v>
      </c>
      <c r="F820" s="243">
        <v>4802095.4837757498</v>
      </c>
      <c r="G820" s="243" t="s">
        <v>850</v>
      </c>
      <c r="H820" s="151">
        <f t="shared" si="27"/>
        <v>-7.5349313565314935E-3</v>
      </c>
      <c r="J820" s="147">
        <v>260.12</v>
      </c>
      <c r="K820" s="147">
        <v>261.48500000000001</v>
      </c>
      <c r="L820" s="147">
        <v>255.35499999999999</v>
      </c>
      <c r="M820" s="147">
        <v>255.43</v>
      </c>
      <c r="N820" s="147">
        <v>415822</v>
      </c>
      <c r="O820" s="147" t="s">
        <v>850</v>
      </c>
      <c r="P820" s="151">
        <f t="shared" si="28"/>
        <v>1.8361194847903439E-2</v>
      </c>
    </row>
    <row r="821" spans="2:16" ht="14.25" customHeight="1">
      <c r="B821" s="243">
        <v>401.77645804805877</v>
      </c>
      <c r="C821" s="243">
        <v>401.79597502357842</v>
      </c>
      <c r="D821" s="243">
        <v>398.44881372195391</v>
      </c>
      <c r="E821" s="243">
        <v>398.69277591594988</v>
      </c>
      <c r="F821" s="243">
        <v>2841538.6361523434</v>
      </c>
      <c r="G821" s="243" t="s">
        <v>851</v>
      </c>
      <c r="H821" s="151">
        <f t="shared" si="27"/>
        <v>7.7344820834148731E-3</v>
      </c>
      <c r="J821" s="147">
        <v>255.63</v>
      </c>
      <c r="K821" s="147">
        <v>255.74</v>
      </c>
      <c r="L821" s="147">
        <v>246.82</v>
      </c>
      <c r="M821" s="147">
        <v>246.82</v>
      </c>
      <c r="N821" s="147">
        <v>375564</v>
      </c>
      <c r="O821" s="147" t="s">
        <v>851</v>
      </c>
      <c r="P821" s="151">
        <f t="shared" si="28"/>
        <v>3.5694028036625802E-2</v>
      </c>
    </row>
    <row r="822" spans="2:16" ht="14.25" customHeight="1">
      <c r="B822" s="243">
        <v>399.52224737553615</v>
      </c>
      <c r="C822" s="243">
        <v>400.49809615151997</v>
      </c>
      <c r="D822" s="243">
        <v>397.50224040924957</v>
      </c>
      <c r="E822" s="243">
        <v>398.09750816259975</v>
      </c>
      <c r="F822" s="243">
        <v>2991100.7441263557</v>
      </c>
      <c r="G822" s="243" t="s">
        <v>852</v>
      </c>
      <c r="H822" s="151">
        <f t="shared" si="27"/>
        <v>3.5788699595540319E-3</v>
      </c>
      <c r="J822" s="147">
        <v>247.44</v>
      </c>
      <c r="K822" s="147">
        <v>248.9</v>
      </c>
      <c r="L822" s="147">
        <v>246.04</v>
      </c>
      <c r="M822" s="147">
        <v>247.15</v>
      </c>
      <c r="N822" s="147">
        <v>204089</v>
      </c>
      <c r="O822" s="147" t="s">
        <v>852</v>
      </c>
      <c r="P822" s="151">
        <f t="shared" si="28"/>
        <v>1.1733764920087708E-3</v>
      </c>
    </row>
    <row r="823" spans="2:16" ht="14.25" customHeight="1">
      <c r="B823" s="243">
        <v>399.89306991041002</v>
      </c>
      <c r="C823" s="243">
        <v>405.02603447208486</v>
      </c>
      <c r="D823" s="243">
        <v>398.75132684250889</v>
      </c>
      <c r="E823" s="243">
        <v>401.85452595013749</v>
      </c>
      <c r="F823" s="243">
        <v>4701882.2105650436</v>
      </c>
      <c r="G823" s="243" t="s">
        <v>853</v>
      </c>
      <c r="H823" s="151">
        <f t="shared" si="27"/>
        <v>-4.8810101991257904E-3</v>
      </c>
      <c r="J823" s="147">
        <v>248.39</v>
      </c>
      <c r="K823" s="147">
        <v>251.16</v>
      </c>
      <c r="L823" s="147">
        <v>246.63</v>
      </c>
      <c r="M823" s="147">
        <v>247.13</v>
      </c>
      <c r="N823" s="147">
        <v>291848</v>
      </c>
      <c r="O823" s="147" t="s">
        <v>853</v>
      </c>
      <c r="P823" s="151">
        <f t="shared" si="28"/>
        <v>5.0985311374580622E-3</v>
      </c>
    </row>
    <row r="824" spans="2:16" ht="14.25" customHeight="1">
      <c r="B824" s="243">
        <v>399.65886620417388</v>
      </c>
      <c r="C824" s="243">
        <v>402.76206531180242</v>
      </c>
      <c r="D824" s="243">
        <v>398.97577206098521</v>
      </c>
      <c r="E824" s="243">
        <v>402.69375589748358</v>
      </c>
      <c r="F824" s="243">
        <v>3223792.5357116582</v>
      </c>
      <c r="G824" s="243" t="s">
        <v>854</v>
      </c>
      <c r="H824" s="151">
        <f t="shared" si="27"/>
        <v>-7.5364707022731459E-3</v>
      </c>
      <c r="J824" s="147">
        <v>246.96</v>
      </c>
      <c r="K824" s="147">
        <v>250.25</v>
      </c>
      <c r="L824" s="147">
        <v>243.15</v>
      </c>
      <c r="M824" s="147">
        <v>248.37</v>
      </c>
      <c r="N824" s="147">
        <v>308870</v>
      </c>
      <c r="O824" s="147" t="s">
        <v>854</v>
      </c>
      <c r="P824" s="151">
        <f t="shared" si="28"/>
        <v>-5.6770141321415002E-3</v>
      </c>
    </row>
    <row r="825" spans="2:16" ht="14.25" customHeight="1">
      <c r="B825" s="243">
        <v>402.33269185036954</v>
      </c>
      <c r="C825" s="243">
        <v>402.77182379956224</v>
      </c>
      <c r="D825" s="243">
        <v>399.24413047438071</v>
      </c>
      <c r="E825" s="243">
        <v>401.81549199909807</v>
      </c>
      <c r="F825" s="243">
        <v>3873639.1262970357</v>
      </c>
      <c r="G825" s="243" t="s">
        <v>855</v>
      </c>
      <c r="H825" s="151">
        <f t="shared" si="27"/>
        <v>1.2871575675150737E-3</v>
      </c>
      <c r="J825" s="147">
        <v>247.89</v>
      </c>
      <c r="K825" s="147">
        <v>251</v>
      </c>
      <c r="L825" s="147">
        <v>244.54</v>
      </c>
      <c r="M825" s="147">
        <v>251</v>
      </c>
      <c r="N825" s="147">
        <v>408678</v>
      </c>
      <c r="O825" s="147" t="s">
        <v>855</v>
      </c>
      <c r="P825" s="151">
        <f t="shared" si="28"/>
        <v>-1.2390438247012026E-2</v>
      </c>
    </row>
    <row r="826" spans="2:16" ht="14.25" customHeight="1">
      <c r="B826" s="243">
        <v>404.07946115938057</v>
      </c>
      <c r="C826" s="243">
        <v>404.235596963538</v>
      </c>
      <c r="D826" s="243">
        <v>401.69839014598006</v>
      </c>
      <c r="E826" s="243">
        <v>402.33269185036954</v>
      </c>
      <c r="F826" s="243">
        <v>2662274.1801164825</v>
      </c>
      <c r="G826" s="243" t="s">
        <v>856</v>
      </c>
      <c r="H826" s="151">
        <f t="shared" si="27"/>
        <v>4.341604210628347E-3</v>
      </c>
      <c r="J826" s="147">
        <v>252.66</v>
      </c>
      <c r="K826" s="147">
        <v>261.04000000000002</v>
      </c>
      <c r="L826" s="147">
        <v>252.09</v>
      </c>
      <c r="M826" s="147">
        <v>253.48</v>
      </c>
      <c r="N826" s="147">
        <v>440126</v>
      </c>
      <c r="O826" s="147" t="s">
        <v>856</v>
      </c>
      <c r="P826" s="151">
        <f t="shared" si="28"/>
        <v>-3.2349692283414333E-3</v>
      </c>
    </row>
    <row r="827" spans="2:16" ht="14.25" customHeight="1">
      <c r="B827" s="243">
        <v>400.46882068824044</v>
      </c>
      <c r="C827" s="243">
        <v>406.07848737698339</v>
      </c>
      <c r="D827" s="243">
        <v>400.12727361664605</v>
      </c>
      <c r="E827" s="243">
        <v>404.1477705736994</v>
      </c>
      <c r="F827" s="243">
        <v>5858762.280288795</v>
      </c>
      <c r="G827" s="243" t="s">
        <v>857</v>
      </c>
      <c r="H827" s="151">
        <f t="shared" si="27"/>
        <v>-9.1029820113484039E-3</v>
      </c>
      <c r="J827" s="147">
        <v>252.36</v>
      </c>
      <c r="K827" s="147">
        <v>256.245</v>
      </c>
      <c r="L827" s="147">
        <v>248.45500000000001</v>
      </c>
      <c r="M827" s="147">
        <v>254.59</v>
      </c>
      <c r="N827" s="147">
        <v>647361</v>
      </c>
      <c r="O827" s="147" t="s">
        <v>857</v>
      </c>
      <c r="P827" s="151">
        <f t="shared" si="28"/>
        <v>-8.7591814289641468E-3</v>
      </c>
    </row>
    <row r="828" spans="2:16" ht="14.25" customHeight="1">
      <c r="B828" s="243">
        <v>402.44003521572773</v>
      </c>
      <c r="C828" s="243">
        <v>404.18680452473876</v>
      </c>
      <c r="D828" s="243">
        <v>401.16167331918894</v>
      </c>
      <c r="E828" s="243">
        <v>401.73742409701941</v>
      </c>
      <c r="F828" s="243">
        <v>3103143.719114739</v>
      </c>
      <c r="G828" s="243" t="s">
        <v>858</v>
      </c>
      <c r="H828" s="151">
        <f t="shared" si="27"/>
        <v>1.748931208705784E-3</v>
      </c>
      <c r="J828" s="147">
        <v>255.28</v>
      </c>
      <c r="K828" s="147">
        <v>270.63</v>
      </c>
      <c r="L828" s="147">
        <v>255.03</v>
      </c>
      <c r="M828" s="147">
        <v>270.06</v>
      </c>
      <c r="N828" s="147">
        <v>749870</v>
      </c>
      <c r="O828" s="147" t="s">
        <v>858</v>
      </c>
      <c r="P828" s="151">
        <f t="shared" si="28"/>
        <v>-5.472857883433313E-2</v>
      </c>
    </row>
    <row r="829" spans="2:16" ht="14.25" customHeight="1">
      <c r="B829" s="243">
        <v>403.58177828362881</v>
      </c>
      <c r="C829" s="243">
        <v>406.63618495245817</v>
      </c>
      <c r="D829" s="243">
        <v>402.90844262819996</v>
      </c>
      <c r="E829" s="243">
        <v>406.40198124622202</v>
      </c>
      <c r="F829" s="243">
        <v>5102294.661363136</v>
      </c>
      <c r="G829" s="243" t="s">
        <v>859</v>
      </c>
      <c r="H829" s="151">
        <f t="shared" si="27"/>
        <v>-6.9394419632137216E-3</v>
      </c>
      <c r="J829" s="147">
        <v>269.45999999999998</v>
      </c>
      <c r="K829" s="147">
        <v>277.35000000000002</v>
      </c>
      <c r="L829" s="147">
        <v>261.88</v>
      </c>
      <c r="M829" s="147">
        <v>263.83</v>
      </c>
      <c r="N829" s="147">
        <v>1621906</v>
      </c>
      <c r="O829" s="147" t="s">
        <v>859</v>
      </c>
      <c r="P829" s="151">
        <f t="shared" si="28"/>
        <v>2.1339498919758837E-2</v>
      </c>
    </row>
    <row r="830" spans="2:16" ht="14.25" customHeight="1">
      <c r="B830" s="243">
        <v>409.25145967209482</v>
      </c>
      <c r="C830" s="243">
        <v>409.93455381528349</v>
      </c>
      <c r="D830" s="243">
        <v>408.44150518802826</v>
      </c>
      <c r="E830" s="243">
        <v>409.13435781897675</v>
      </c>
      <c r="F830" s="243">
        <v>3214919.2346294592</v>
      </c>
      <c r="G830" s="243" t="s">
        <v>860</v>
      </c>
      <c r="H830" s="151">
        <f t="shared" si="27"/>
        <v>2.8621857558563946E-4</v>
      </c>
      <c r="J830" s="147">
        <v>298.33</v>
      </c>
      <c r="K830" s="147">
        <v>301.64999999999998</v>
      </c>
      <c r="L830" s="147">
        <v>294.27999999999997</v>
      </c>
      <c r="M830" s="147">
        <v>300.03500000000003</v>
      </c>
      <c r="N830" s="147">
        <v>493435</v>
      </c>
      <c r="O830" s="147" t="s">
        <v>860</v>
      </c>
      <c r="P830" s="151">
        <f t="shared" si="28"/>
        <v>-5.6826703551253743E-3</v>
      </c>
    </row>
    <row r="831" spans="2:16" ht="14.25" customHeight="1">
      <c r="B831" s="243">
        <v>410.5200630808738</v>
      </c>
      <c r="C831" s="243">
        <v>410.80305922590912</v>
      </c>
      <c r="D831" s="243">
        <v>408.92942957602014</v>
      </c>
      <c r="E831" s="243">
        <v>410.16875752151958</v>
      </c>
      <c r="F831" s="243">
        <v>3540033.1332252184</v>
      </c>
      <c r="G831" s="243" t="s">
        <v>861</v>
      </c>
      <c r="H831" s="151">
        <f t="shared" si="27"/>
        <v>8.5649029311007929E-4</v>
      </c>
      <c r="J831" s="147">
        <v>303.36</v>
      </c>
      <c r="K831" s="147">
        <v>310.51</v>
      </c>
      <c r="L831" s="147">
        <v>300.86</v>
      </c>
      <c r="M831" s="147">
        <v>309.72000000000003</v>
      </c>
      <c r="N831" s="147">
        <v>338057</v>
      </c>
      <c r="O831" s="147" t="s">
        <v>861</v>
      </c>
      <c r="P831" s="151">
        <f t="shared" si="28"/>
        <v>-2.0534676481983816E-2</v>
      </c>
    </row>
    <row r="832" spans="2:16" ht="14.25" customHeight="1">
      <c r="B832" s="243">
        <v>409.72962557232688</v>
      </c>
      <c r="C832" s="243">
        <v>410.46151215431473</v>
      </c>
      <c r="D832" s="243">
        <v>408.06092416539457</v>
      </c>
      <c r="E832" s="243">
        <v>408.81232772290213</v>
      </c>
      <c r="F832" s="243">
        <v>2769618.6812092797</v>
      </c>
      <c r="G832" s="243" t="s">
        <v>862</v>
      </c>
      <c r="H832" s="151">
        <f t="shared" si="27"/>
        <v>2.2438116153056242E-3</v>
      </c>
      <c r="J832" s="147">
        <v>308.06</v>
      </c>
      <c r="K832" s="147">
        <v>309.10500000000002</v>
      </c>
      <c r="L832" s="147">
        <v>304.04000000000002</v>
      </c>
      <c r="M832" s="147">
        <v>308.12</v>
      </c>
      <c r="N832" s="147">
        <v>261708</v>
      </c>
      <c r="O832" s="147" t="s">
        <v>862</v>
      </c>
      <c r="P832" s="151">
        <f t="shared" si="28"/>
        <v>-1.9472932623654238E-4</v>
      </c>
    </row>
    <row r="833" spans="2:16" ht="14.25" customHeight="1">
      <c r="B833" s="243">
        <v>405.77743802959242</v>
      </c>
      <c r="C833" s="243">
        <v>411.95456078156997</v>
      </c>
      <c r="D833" s="243">
        <v>404.89917413120696</v>
      </c>
      <c r="E833" s="243">
        <v>411.60325522221586</v>
      </c>
      <c r="F833" s="243">
        <v>4252137.3209867058</v>
      </c>
      <c r="G833" s="243" t="s">
        <v>863</v>
      </c>
      <c r="H833" s="151">
        <f t="shared" si="27"/>
        <v>-1.4153962872519577E-2</v>
      </c>
      <c r="J833" s="147">
        <v>304.85000000000002</v>
      </c>
      <c r="K833" s="147">
        <v>307.44619999999998</v>
      </c>
      <c r="L833" s="147">
        <v>303.63</v>
      </c>
      <c r="M833" s="147">
        <v>307.19</v>
      </c>
      <c r="N833" s="147">
        <v>267420</v>
      </c>
      <c r="O833" s="147" t="s">
        <v>863</v>
      </c>
      <c r="P833" s="151">
        <f t="shared" si="28"/>
        <v>-7.6174354633938846E-3</v>
      </c>
    </row>
    <row r="834" spans="2:16" ht="14.25" customHeight="1">
      <c r="B834" s="243">
        <v>408.54884855338651</v>
      </c>
      <c r="C834" s="243">
        <v>409.74914254784653</v>
      </c>
      <c r="D834" s="243">
        <v>406.51908309934009</v>
      </c>
      <c r="E834" s="243">
        <v>407.53396582636327</v>
      </c>
      <c r="F834" s="243">
        <v>6290766.7161963824</v>
      </c>
      <c r="G834" s="243" t="s">
        <v>864</v>
      </c>
      <c r="H834" s="151">
        <f t="shared" si="27"/>
        <v>2.4903021885926968E-3</v>
      </c>
      <c r="J834" s="147">
        <v>304.88</v>
      </c>
      <c r="K834" s="147">
        <v>306.54500000000002</v>
      </c>
      <c r="L834" s="147">
        <v>298.39</v>
      </c>
      <c r="M834" s="147">
        <v>300.2</v>
      </c>
      <c r="N834" s="147">
        <v>335675</v>
      </c>
      <c r="O834" s="147" t="s">
        <v>864</v>
      </c>
      <c r="P834" s="151">
        <f t="shared" si="28"/>
        <v>1.558960692871425E-2</v>
      </c>
    </row>
    <row r="835" spans="2:16" ht="14.25" customHeight="1">
      <c r="B835" s="243">
        <v>408.45126367578808</v>
      </c>
      <c r="C835" s="243">
        <v>409.51493884161044</v>
      </c>
      <c r="D835" s="243">
        <v>406.99471179275463</v>
      </c>
      <c r="E835" s="243">
        <v>407.00700748733203</v>
      </c>
      <c r="F835" s="243">
        <v>4047049.1916315909</v>
      </c>
      <c r="G835" s="243" t="s">
        <v>865</v>
      </c>
      <c r="H835" s="151">
        <f t="shared" si="27"/>
        <v>3.548479907931279E-3</v>
      </c>
      <c r="J835" s="147">
        <v>301.83999999999997</v>
      </c>
      <c r="K835" s="147">
        <v>303.5</v>
      </c>
      <c r="L835" s="147">
        <v>300.74</v>
      </c>
      <c r="M835" s="147">
        <v>300.74</v>
      </c>
      <c r="N835" s="147">
        <v>273405</v>
      </c>
      <c r="O835" s="147" t="s">
        <v>865</v>
      </c>
      <c r="P835" s="151">
        <f t="shared" si="28"/>
        <v>3.6576444769567118E-3</v>
      </c>
    </row>
    <row r="836" spans="2:16" ht="14.25" customHeight="1">
      <c r="B836" s="243">
        <v>407.25096968132794</v>
      </c>
      <c r="C836" s="243">
        <v>408.00237323883556</v>
      </c>
      <c r="D836" s="243">
        <v>405.96772854090926</v>
      </c>
      <c r="E836" s="243">
        <v>406.51908309934009</v>
      </c>
      <c r="F836" s="243">
        <v>3557032.6934114527</v>
      </c>
      <c r="G836" s="243" t="s">
        <v>866</v>
      </c>
      <c r="H836" s="151">
        <f t="shared" si="27"/>
        <v>1.8003744778913866E-3</v>
      </c>
      <c r="J836" s="147">
        <v>302.64999999999998</v>
      </c>
      <c r="K836" s="147">
        <v>304.83999999999997</v>
      </c>
      <c r="L836" s="147">
        <v>299.93</v>
      </c>
      <c r="M836" s="147">
        <v>302.61</v>
      </c>
      <c r="N836" s="147">
        <v>381664</v>
      </c>
      <c r="O836" s="147" t="s">
        <v>866</v>
      </c>
      <c r="P836" s="151">
        <f t="shared" si="28"/>
        <v>1.3218333829012607E-4</v>
      </c>
    </row>
    <row r="837" spans="2:16" ht="14.25" customHeight="1">
      <c r="B837" s="243">
        <v>405.53347583559645</v>
      </c>
      <c r="C837" s="243">
        <v>407.22169421804847</v>
      </c>
      <c r="D837" s="243">
        <v>405.44564944575791</v>
      </c>
      <c r="E837" s="243">
        <v>407.03628295061156</v>
      </c>
      <c r="F837" s="243">
        <v>3255333.2833740916</v>
      </c>
      <c r="G837" s="243" t="s">
        <v>867</v>
      </c>
      <c r="H837" s="151">
        <f t="shared" si="27"/>
        <v>-3.6920716357795591E-3</v>
      </c>
      <c r="J837" s="147">
        <v>303.57</v>
      </c>
      <c r="K837" s="147">
        <v>306.82</v>
      </c>
      <c r="L837" s="147">
        <v>301.43</v>
      </c>
      <c r="M837" s="147">
        <v>305.12</v>
      </c>
      <c r="N837" s="147">
        <v>324196</v>
      </c>
      <c r="O837" s="147" t="s">
        <v>867</v>
      </c>
      <c r="P837" s="151">
        <f t="shared" si="28"/>
        <v>-5.0799685369691261E-3</v>
      </c>
    </row>
    <row r="838" spans="2:16" ht="14.25" customHeight="1">
      <c r="B838" s="243">
        <v>405.48468339679727</v>
      </c>
      <c r="C838" s="243">
        <v>408.06092416539457</v>
      </c>
      <c r="D838" s="243">
        <v>404.8015892536086</v>
      </c>
      <c r="E838" s="243">
        <v>407.22169421804847</v>
      </c>
      <c r="F838" s="243">
        <v>4186096.3507195371</v>
      </c>
      <c r="G838" s="243" t="s">
        <v>868</v>
      </c>
      <c r="H838" s="151">
        <f t="shared" si="27"/>
        <v>-4.2655164150491309E-3</v>
      </c>
      <c r="J838" s="147">
        <v>305.86</v>
      </c>
      <c r="K838" s="147">
        <v>308.58</v>
      </c>
      <c r="L838" s="147">
        <v>302.14</v>
      </c>
      <c r="M838" s="147">
        <v>302.94</v>
      </c>
      <c r="N838" s="147">
        <v>376152</v>
      </c>
      <c r="O838" s="147" t="s">
        <v>868</v>
      </c>
      <c r="P838" s="151">
        <f t="shared" si="28"/>
        <v>9.6388723839704316E-3</v>
      </c>
    </row>
    <row r="839" spans="2:16" ht="14.25" customHeight="1">
      <c r="B839" s="243">
        <v>408.14875055523311</v>
      </c>
      <c r="C839" s="243">
        <v>409.241701184335</v>
      </c>
      <c r="D839" s="243">
        <v>407.40710548548543</v>
      </c>
      <c r="E839" s="243">
        <v>407.97309777555603</v>
      </c>
      <c r="F839" s="243">
        <v>3581411.4707235582</v>
      </c>
      <c r="G839" s="243" t="s">
        <v>869</v>
      </c>
      <c r="H839" s="151">
        <f t="shared" si="27"/>
        <v>4.3054990791024927E-4</v>
      </c>
      <c r="J839" s="147">
        <v>302.36</v>
      </c>
      <c r="K839" s="147">
        <v>319.67</v>
      </c>
      <c r="L839" s="147">
        <v>301.68</v>
      </c>
      <c r="M839" s="147">
        <v>319.22000000000003</v>
      </c>
      <c r="N839" s="147">
        <v>725603</v>
      </c>
      <c r="O839" s="147" t="s">
        <v>869</v>
      </c>
      <c r="P839" s="151">
        <f t="shared" si="28"/>
        <v>-5.2816239583985958E-2</v>
      </c>
    </row>
    <row r="840" spans="2:16" ht="14.25" customHeight="1">
      <c r="B840" s="243">
        <v>407.27048665684771</v>
      </c>
      <c r="C840" s="243">
        <v>407.83647894691831</v>
      </c>
      <c r="D840" s="243">
        <v>403.55250282034933</v>
      </c>
      <c r="E840" s="243">
        <v>403.91356686746332</v>
      </c>
      <c r="F840" s="243">
        <v>3686312.9703404387</v>
      </c>
      <c r="G840" s="243" t="s">
        <v>870</v>
      </c>
      <c r="H840" s="151">
        <f t="shared" si="27"/>
        <v>8.3109854799354732E-3</v>
      </c>
      <c r="J840" s="147">
        <v>314.54000000000002</v>
      </c>
      <c r="K840" s="147">
        <v>314.74</v>
      </c>
      <c r="L840" s="147">
        <v>308.07</v>
      </c>
      <c r="M840" s="147">
        <v>312.77</v>
      </c>
      <c r="N840" s="147">
        <v>440067</v>
      </c>
      <c r="O840" s="147" t="s">
        <v>870</v>
      </c>
      <c r="P840" s="151">
        <f t="shared" si="28"/>
        <v>5.6591105285035415E-3</v>
      </c>
    </row>
    <row r="841" spans="2:16" ht="14.25" customHeight="1">
      <c r="B841" s="243">
        <v>404.20632150025847</v>
      </c>
      <c r="C841" s="243">
        <v>405.22071630289366</v>
      </c>
      <c r="D841" s="243">
        <v>402.66448043420399</v>
      </c>
      <c r="E841" s="243">
        <v>402.6839974097237</v>
      </c>
      <c r="F841" s="243">
        <v>3041728.4655683292</v>
      </c>
      <c r="G841" s="243" t="s">
        <v>871</v>
      </c>
      <c r="H841" s="151">
        <f t="shared" si="27"/>
        <v>3.7804434750998706E-3</v>
      </c>
      <c r="J841" s="147">
        <v>313.49</v>
      </c>
      <c r="K841" s="147">
        <v>315.77999999999997</v>
      </c>
      <c r="L841" s="147">
        <v>312.45</v>
      </c>
      <c r="M841" s="147">
        <v>315.26</v>
      </c>
      <c r="N841" s="147">
        <v>419878</v>
      </c>
      <c r="O841" s="147" t="s">
        <v>871</v>
      </c>
      <c r="P841" s="151">
        <f t="shared" si="28"/>
        <v>-5.6144134999682738E-3</v>
      </c>
    </row>
    <row r="842" spans="2:16" ht="14.25" customHeight="1">
      <c r="B842" s="243">
        <v>402.80109926284172</v>
      </c>
      <c r="C842" s="243">
        <v>404.69424588825035</v>
      </c>
      <c r="D842" s="243">
        <v>402.12776360741293</v>
      </c>
      <c r="E842" s="243">
        <v>403.94284233074285</v>
      </c>
      <c r="F842" s="243">
        <v>3772044.4915135377</v>
      </c>
      <c r="G842" s="243" t="s">
        <v>872</v>
      </c>
      <c r="H842" s="151">
        <f t="shared" ref="H842:H905" si="29">B842/E842-1</f>
        <v>-2.8264965937093711E-3</v>
      </c>
      <c r="J842" s="147">
        <v>314.93</v>
      </c>
      <c r="K842" s="147">
        <v>323.33999999999997</v>
      </c>
      <c r="L842" s="147">
        <v>313.29000000000002</v>
      </c>
      <c r="M842" s="147">
        <v>318</v>
      </c>
      <c r="N842" s="147">
        <v>414821</v>
      </c>
      <c r="O842" s="147" t="s">
        <v>872</v>
      </c>
      <c r="P842" s="151">
        <f t="shared" ref="P842:P905" si="30">J842/M842-1</f>
        <v>-9.6540880503144244E-3</v>
      </c>
    </row>
    <row r="843" spans="2:16" ht="14.25" customHeight="1">
      <c r="B843" s="243">
        <v>403.12312935891646</v>
      </c>
      <c r="C843" s="243">
        <v>403.81598198986495</v>
      </c>
      <c r="D843" s="243">
        <v>401.20070727022829</v>
      </c>
      <c r="E843" s="243">
        <v>401.60080526838169</v>
      </c>
      <c r="F843" s="243">
        <v>3354440.8524771994</v>
      </c>
      <c r="G843" s="243" t="s">
        <v>873</v>
      </c>
      <c r="H843" s="151">
        <f t="shared" si="29"/>
        <v>3.7906400349905223E-3</v>
      </c>
      <c r="J843" s="147">
        <v>319.07</v>
      </c>
      <c r="K843" s="147">
        <v>320.16000000000003</v>
      </c>
      <c r="L843" s="147">
        <v>314.97000000000003</v>
      </c>
      <c r="M843" s="147">
        <v>318.51</v>
      </c>
      <c r="N843" s="147">
        <v>402008</v>
      </c>
      <c r="O843" s="147" t="s">
        <v>873</v>
      </c>
      <c r="P843" s="151">
        <f t="shared" si="30"/>
        <v>1.7581865561520083E-3</v>
      </c>
    </row>
    <row r="844" spans="2:16" ht="14.25" customHeight="1">
      <c r="B844" s="243">
        <v>399.86379444713043</v>
      </c>
      <c r="C844" s="243">
        <v>401.20070727022829</v>
      </c>
      <c r="D844" s="243">
        <v>398.9172211344262</v>
      </c>
      <c r="E844" s="243">
        <v>400.28340942080348</v>
      </c>
      <c r="F844" s="243">
        <v>4351451.8893759446</v>
      </c>
      <c r="G844" s="243" t="s">
        <v>874</v>
      </c>
      <c r="H844" s="151">
        <f t="shared" si="29"/>
        <v>-1.0482946927033998E-3</v>
      </c>
      <c r="J844" s="147">
        <v>317.95999999999998</v>
      </c>
      <c r="K844" s="147">
        <v>324.58999999999997</v>
      </c>
      <c r="L844" s="147">
        <v>316.18</v>
      </c>
      <c r="M844" s="147">
        <v>324.5</v>
      </c>
      <c r="N844" s="147">
        <v>517965</v>
      </c>
      <c r="O844" s="147" t="s">
        <v>874</v>
      </c>
      <c r="P844" s="151">
        <f t="shared" si="30"/>
        <v>-2.0154083204930728E-2</v>
      </c>
    </row>
    <row r="845" spans="2:16" ht="14.25" customHeight="1">
      <c r="B845" s="243">
        <v>396.74107836398224</v>
      </c>
      <c r="C845" s="243">
        <v>397.17045182541511</v>
      </c>
      <c r="D845" s="243">
        <v>394.01846027898733</v>
      </c>
      <c r="E845" s="243">
        <v>394.99430905497115</v>
      </c>
      <c r="F845" s="243">
        <v>3260618.9384130086</v>
      </c>
      <c r="G845" s="243" t="s">
        <v>875</v>
      </c>
      <c r="H845" s="151">
        <f t="shared" si="29"/>
        <v>4.4222644958866741E-3</v>
      </c>
      <c r="J845" s="147">
        <v>321.36</v>
      </c>
      <c r="K845" s="147">
        <v>328.57</v>
      </c>
      <c r="L845" s="147">
        <v>320.80880000000002</v>
      </c>
      <c r="M845" s="147">
        <v>327.04000000000002</v>
      </c>
      <c r="N845" s="147">
        <v>463973</v>
      </c>
      <c r="O845" s="147" t="s">
        <v>875</v>
      </c>
      <c r="P845" s="151">
        <f t="shared" si="30"/>
        <v>-1.7367906066536265E-2</v>
      </c>
    </row>
    <row r="846" spans="2:16" ht="14.25" customHeight="1">
      <c r="B846" s="243">
        <v>394.21363003418418</v>
      </c>
      <c r="C846" s="243">
        <v>394.3502488628219</v>
      </c>
      <c r="D846" s="243">
        <v>392.34975887205502</v>
      </c>
      <c r="E846" s="243">
        <v>392.90599267436579</v>
      </c>
      <c r="F846" s="243">
        <v>3445489.7959063947</v>
      </c>
      <c r="G846" s="243" t="s">
        <v>876</v>
      </c>
      <c r="H846" s="151">
        <f t="shared" si="29"/>
        <v>3.3281176266053425E-3</v>
      </c>
      <c r="J846" s="147">
        <v>327.25</v>
      </c>
      <c r="K846" s="147">
        <v>332.52</v>
      </c>
      <c r="L846" s="147">
        <v>326.55</v>
      </c>
      <c r="M846" s="147">
        <v>329.4</v>
      </c>
      <c r="N846" s="147">
        <v>335051</v>
      </c>
      <c r="O846" s="147" t="s">
        <v>876</v>
      </c>
      <c r="P846" s="151">
        <f t="shared" si="30"/>
        <v>-6.5270188221007164E-3</v>
      </c>
    </row>
    <row r="847" spans="2:16" ht="14.25" customHeight="1">
      <c r="B847" s="243">
        <v>393.15971335612159</v>
      </c>
      <c r="C847" s="243">
        <v>396.85720436832429</v>
      </c>
      <c r="D847" s="243">
        <v>392.98406057644451</v>
      </c>
      <c r="E847" s="243">
        <v>393.29633218475931</v>
      </c>
      <c r="F847" s="243">
        <v>3764158.0236617527</v>
      </c>
      <c r="G847" s="243" t="s">
        <v>877</v>
      </c>
      <c r="H847" s="151">
        <f t="shared" si="29"/>
        <v>-3.4736868223206319E-4</v>
      </c>
      <c r="J847" s="147">
        <v>327.37</v>
      </c>
      <c r="K847" s="147">
        <v>333.34</v>
      </c>
      <c r="L847" s="147">
        <v>326.70499999999998</v>
      </c>
      <c r="M847" s="147">
        <v>331.15</v>
      </c>
      <c r="N847" s="147">
        <v>273176</v>
      </c>
      <c r="O847" s="147" t="s">
        <v>877</v>
      </c>
      <c r="P847" s="151">
        <f t="shared" si="30"/>
        <v>-1.1414766722029235E-2</v>
      </c>
    </row>
    <row r="848" spans="2:16" ht="14.25" customHeight="1">
      <c r="B848" s="243">
        <v>394.0770112055464</v>
      </c>
      <c r="C848" s="243">
        <v>394.58445256905799</v>
      </c>
      <c r="D848" s="243">
        <v>391.86183448406314</v>
      </c>
      <c r="E848" s="243">
        <v>394.02821876674716</v>
      </c>
      <c r="F848" s="243">
        <v>6189761.3120540967</v>
      </c>
      <c r="G848" s="243" t="s">
        <v>878</v>
      </c>
      <c r="H848" s="151">
        <f t="shared" si="29"/>
        <v>1.2382980831149304E-4</v>
      </c>
      <c r="J848" s="147">
        <v>331.58</v>
      </c>
      <c r="K848" s="147">
        <v>339.26</v>
      </c>
      <c r="L848" s="147">
        <v>329.38</v>
      </c>
      <c r="M848" s="147">
        <v>336.67</v>
      </c>
      <c r="N848" s="147">
        <v>313639</v>
      </c>
      <c r="O848" s="147" t="s">
        <v>878</v>
      </c>
      <c r="P848" s="151">
        <f t="shared" si="30"/>
        <v>-1.5118662191463517E-2</v>
      </c>
    </row>
    <row r="849" spans="2:16" ht="14.25" customHeight="1">
      <c r="B849" s="243">
        <v>397.31682914181266</v>
      </c>
      <c r="C849" s="243">
        <v>397.9901647972415</v>
      </c>
      <c r="D849" s="243">
        <v>396.20436153719112</v>
      </c>
      <c r="E849" s="243">
        <v>396.20436153719112</v>
      </c>
      <c r="F849" s="243">
        <v>4338914.0860798694</v>
      </c>
      <c r="G849" s="243" t="s">
        <v>879</v>
      </c>
      <c r="H849" s="151">
        <f t="shared" si="29"/>
        <v>2.8078126154527094E-3</v>
      </c>
      <c r="J849" s="147">
        <v>337.29</v>
      </c>
      <c r="K849" s="147">
        <v>341.23</v>
      </c>
      <c r="L849" s="147">
        <v>333.6</v>
      </c>
      <c r="M849" s="147">
        <v>338.27</v>
      </c>
      <c r="N849" s="147">
        <v>310618</v>
      </c>
      <c r="O849" s="147" t="s">
        <v>879</v>
      </c>
      <c r="P849" s="151">
        <f t="shared" si="30"/>
        <v>-2.8970940373073129E-3</v>
      </c>
    </row>
    <row r="850" spans="2:16" ht="14.25" customHeight="1">
      <c r="B850" s="243">
        <v>398.20485152795794</v>
      </c>
      <c r="C850" s="243">
        <v>398.20485152795794</v>
      </c>
      <c r="D850" s="243">
        <v>396.85818021710031</v>
      </c>
      <c r="E850" s="243">
        <v>397.0923839233364</v>
      </c>
      <c r="F850" s="243">
        <v>2430723.9588517216</v>
      </c>
      <c r="G850" s="243" t="s">
        <v>880</v>
      </c>
      <c r="H850" s="151">
        <f t="shared" si="29"/>
        <v>2.8015334709525774E-3</v>
      </c>
      <c r="J850" s="147">
        <v>338.77</v>
      </c>
      <c r="K850" s="147">
        <v>344.04</v>
      </c>
      <c r="L850" s="147">
        <v>338.37</v>
      </c>
      <c r="M850" s="147">
        <v>341.45</v>
      </c>
      <c r="N850" s="147">
        <v>272414</v>
      </c>
      <c r="O850" s="147" t="s">
        <v>880</v>
      </c>
      <c r="P850" s="151">
        <f t="shared" si="30"/>
        <v>-7.8488797774198815E-3</v>
      </c>
    </row>
    <row r="851" spans="2:16" ht="14.25" customHeight="1">
      <c r="B851" s="243">
        <v>397.44368948269056</v>
      </c>
      <c r="C851" s="243">
        <v>398.36098733211543</v>
      </c>
      <c r="D851" s="243">
        <v>395.5017504184828</v>
      </c>
      <c r="E851" s="243">
        <v>395.60909378384099</v>
      </c>
      <c r="F851" s="243">
        <v>5301735.3993030749</v>
      </c>
      <c r="G851" s="243" t="s">
        <v>881</v>
      </c>
      <c r="H851" s="151">
        <f t="shared" si="29"/>
        <v>4.6373951652687317E-3</v>
      </c>
      <c r="J851" s="147">
        <v>344.06</v>
      </c>
      <c r="K851" s="147">
        <v>348.67</v>
      </c>
      <c r="L851" s="147">
        <v>341.39</v>
      </c>
      <c r="M851" s="147">
        <v>343.71</v>
      </c>
      <c r="N851" s="147">
        <v>378326</v>
      </c>
      <c r="O851" s="147" t="s">
        <v>881</v>
      </c>
      <c r="P851" s="151">
        <f t="shared" si="30"/>
        <v>1.0183003113091171E-3</v>
      </c>
    </row>
    <row r="852" spans="2:16" ht="14.25" customHeight="1">
      <c r="B852" s="243">
        <v>392.78889082124778</v>
      </c>
      <c r="C852" s="243">
        <v>392.94502662540521</v>
      </c>
      <c r="D852" s="243">
        <v>390.52492166096528</v>
      </c>
      <c r="E852" s="243">
        <v>390.92501965911868</v>
      </c>
      <c r="F852" s="243">
        <v>4011737.3678653939</v>
      </c>
      <c r="G852" s="243" t="s">
        <v>882</v>
      </c>
      <c r="H852" s="151">
        <f t="shared" si="29"/>
        <v>4.7678482276585221E-3</v>
      </c>
      <c r="J852" s="147">
        <v>340.37</v>
      </c>
      <c r="K852" s="147">
        <v>340.7</v>
      </c>
      <c r="L852" s="147">
        <v>328.94</v>
      </c>
      <c r="M852" s="147">
        <v>329</v>
      </c>
      <c r="N852" s="147">
        <v>350036</v>
      </c>
      <c r="O852" s="147" t="s">
        <v>882</v>
      </c>
      <c r="P852" s="151">
        <f t="shared" si="30"/>
        <v>3.4559270516717255E-2</v>
      </c>
    </row>
    <row r="853" spans="2:16" ht="14.25" customHeight="1">
      <c r="B853" s="243">
        <v>391.28979193158125</v>
      </c>
      <c r="C853" s="243">
        <v>392.1986379270005</v>
      </c>
      <c r="D853" s="243">
        <v>389.50126077482031</v>
      </c>
      <c r="E853" s="243">
        <v>390.12335856847631</v>
      </c>
      <c r="F853" s="243">
        <v>4445008.6597304381</v>
      </c>
      <c r="G853" s="243" t="s">
        <v>883</v>
      </c>
      <c r="H853" s="151">
        <f t="shared" si="29"/>
        <v>2.9899090569327491E-3</v>
      </c>
      <c r="J853" s="147">
        <v>329.43</v>
      </c>
      <c r="K853" s="147">
        <v>330.68</v>
      </c>
      <c r="L853" s="147">
        <v>327.08</v>
      </c>
      <c r="M853" s="147">
        <v>327.13</v>
      </c>
      <c r="N853" s="147">
        <v>262316</v>
      </c>
      <c r="O853" s="147" t="s">
        <v>883</v>
      </c>
      <c r="P853" s="151">
        <f t="shared" si="30"/>
        <v>7.0308440069697387E-3</v>
      </c>
    </row>
    <row r="854" spans="2:16" ht="14.25" customHeight="1">
      <c r="B854" s="243">
        <v>391.11482692711547</v>
      </c>
      <c r="C854" s="243">
        <v>391.65916249656448</v>
      </c>
      <c r="D854" s="243">
        <v>387.24615627281742</v>
      </c>
      <c r="E854" s="243">
        <v>387.64468767187827</v>
      </c>
      <c r="F854" s="243">
        <v>4426170.7211948764</v>
      </c>
      <c r="G854" s="243" t="s">
        <v>884</v>
      </c>
      <c r="H854" s="151">
        <f t="shared" si="29"/>
        <v>8.9518555667000843E-3</v>
      </c>
      <c r="J854" s="147">
        <v>327.35000000000002</v>
      </c>
      <c r="K854" s="147">
        <v>332.13</v>
      </c>
      <c r="L854" s="147">
        <v>325.77</v>
      </c>
      <c r="M854" s="147">
        <v>329.51</v>
      </c>
      <c r="N854" s="147">
        <v>346062</v>
      </c>
      <c r="O854" s="147" t="s">
        <v>884</v>
      </c>
      <c r="P854" s="151">
        <f t="shared" si="30"/>
        <v>-6.555188006433732E-3</v>
      </c>
    </row>
    <row r="855" spans="2:16" ht="14.25" customHeight="1">
      <c r="B855" s="243">
        <v>386.82818431770477</v>
      </c>
      <c r="C855" s="243">
        <v>389.64706494520846</v>
      </c>
      <c r="D855" s="243">
        <v>386.60461792310969</v>
      </c>
      <c r="E855" s="243">
        <v>387.87797434449925</v>
      </c>
      <c r="F855" s="243">
        <v>3344245.9066982488</v>
      </c>
      <c r="G855" s="243" t="s">
        <v>885</v>
      </c>
      <c r="H855" s="151">
        <f t="shared" si="29"/>
        <v>-2.7064955894147147E-3</v>
      </c>
      <c r="J855" s="147">
        <v>329.26</v>
      </c>
      <c r="K855" s="147">
        <v>334.25</v>
      </c>
      <c r="L855" s="147">
        <v>328.78</v>
      </c>
      <c r="M855" s="147">
        <v>334.25</v>
      </c>
      <c r="N855" s="147">
        <v>320998</v>
      </c>
      <c r="O855" s="147" t="s">
        <v>885</v>
      </c>
      <c r="P855" s="151">
        <f t="shared" si="30"/>
        <v>-1.4928945400149662E-2</v>
      </c>
    </row>
    <row r="856" spans="2:16" ht="14.25" customHeight="1">
      <c r="B856" s="243">
        <v>388.43203019197409</v>
      </c>
      <c r="C856" s="243">
        <v>390.05531662229515</v>
      </c>
      <c r="D856" s="243">
        <v>387.77105128621463</v>
      </c>
      <c r="E856" s="243">
        <v>388.15986240724959</v>
      </c>
      <c r="F856" s="243">
        <v>4336611.5545040993</v>
      </c>
      <c r="G856" s="243" t="s">
        <v>886</v>
      </c>
      <c r="H856" s="151">
        <f t="shared" si="29"/>
        <v>7.0117446723272359E-4</v>
      </c>
      <c r="J856" s="147">
        <v>334.1</v>
      </c>
      <c r="K856" s="147">
        <v>339.44</v>
      </c>
      <c r="L856" s="147">
        <v>333.41</v>
      </c>
      <c r="M856" s="147">
        <v>337.23</v>
      </c>
      <c r="N856" s="147">
        <v>373262</v>
      </c>
      <c r="O856" s="147" t="s">
        <v>886</v>
      </c>
      <c r="P856" s="151">
        <f t="shared" si="30"/>
        <v>-9.2814992734928659E-3</v>
      </c>
    </row>
    <row r="857" spans="2:16" ht="14.25" customHeight="1">
      <c r="B857" s="243">
        <v>391.36755415578824</v>
      </c>
      <c r="C857" s="243">
        <v>391.45503665802113</v>
      </c>
      <c r="D857" s="243">
        <v>388.76251964485385</v>
      </c>
      <c r="E857" s="243">
        <v>389.08328881970766</v>
      </c>
      <c r="F857" s="243">
        <v>3231410.6568133757</v>
      </c>
      <c r="G857" s="243" t="s">
        <v>887</v>
      </c>
      <c r="H857" s="151">
        <f t="shared" si="29"/>
        <v>5.8708903767363818E-3</v>
      </c>
      <c r="J857" s="147">
        <v>339.98</v>
      </c>
      <c r="K857" s="147">
        <v>342.08499999999998</v>
      </c>
      <c r="L857" s="147">
        <v>334.92</v>
      </c>
      <c r="M857" s="147">
        <v>335.55</v>
      </c>
      <c r="N857" s="147">
        <v>300046</v>
      </c>
      <c r="O857" s="147" t="s">
        <v>887</v>
      </c>
      <c r="P857" s="151">
        <f t="shared" si="30"/>
        <v>1.3202205334525319E-2</v>
      </c>
    </row>
    <row r="858" spans="2:16" ht="14.25" customHeight="1">
      <c r="B858" s="243">
        <v>389.94839356401053</v>
      </c>
      <c r="C858" s="243">
        <v>391.78552611090083</v>
      </c>
      <c r="D858" s="243">
        <v>389.46237966271684</v>
      </c>
      <c r="E858" s="243">
        <v>391.05650525896021</v>
      </c>
      <c r="F858" s="243">
        <v>3522062.8369752495</v>
      </c>
      <c r="G858" s="243" t="s">
        <v>888</v>
      </c>
      <c r="H858" s="151">
        <f t="shared" si="29"/>
        <v>-2.8336357535233558E-3</v>
      </c>
      <c r="J858" s="147">
        <v>336.37</v>
      </c>
      <c r="K858" s="147">
        <v>338.48500000000001</v>
      </c>
      <c r="L858" s="147">
        <v>328.79</v>
      </c>
      <c r="M858" s="147">
        <v>337.16</v>
      </c>
      <c r="N858" s="147">
        <v>509020</v>
      </c>
      <c r="O858" s="147" t="s">
        <v>888</v>
      </c>
      <c r="P858" s="151">
        <f t="shared" si="30"/>
        <v>-2.3431011982442129E-3</v>
      </c>
    </row>
    <row r="859" spans="2:16" ht="14.25" customHeight="1">
      <c r="B859" s="243">
        <v>392.0965750077288</v>
      </c>
      <c r="C859" s="243">
        <v>393.01028114216103</v>
      </c>
      <c r="D859" s="243">
        <v>390.03587606624342</v>
      </c>
      <c r="E859" s="243">
        <v>392.20349806601342</v>
      </c>
      <c r="F859" s="243">
        <v>4369094.1644829009</v>
      </c>
      <c r="G859" s="243" t="s">
        <v>889</v>
      </c>
      <c r="H859" s="151">
        <f t="shared" si="29"/>
        <v>-2.7262137847283707E-4</v>
      </c>
      <c r="J859" s="147">
        <v>337.77</v>
      </c>
      <c r="K859" s="147">
        <v>339.67</v>
      </c>
      <c r="L859" s="147">
        <v>332.88</v>
      </c>
      <c r="M859" s="147">
        <v>333.97</v>
      </c>
      <c r="N859" s="147">
        <v>332008</v>
      </c>
      <c r="O859" s="147" t="s">
        <v>889</v>
      </c>
      <c r="P859" s="151">
        <f t="shared" si="30"/>
        <v>1.137826750905746E-2</v>
      </c>
    </row>
    <row r="860" spans="2:16" ht="14.25" customHeight="1">
      <c r="B860" s="243">
        <v>393.91426699856737</v>
      </c>
      <c r="C860" s="243">
        <v>397.32608458564931</v>
      </c>
      <c r="D860" s="243">
        <v>393.56433698963588</v>
      </c>
      <c r="E860" s="243">
        <v>397.25804263946821</v>
      </c>
      <c r="F860" s="243">
        <v>5289853.8357778713</v>
      </c>
      <c r="G860" s="243" t="s">
        <v>890</v>
      </c>
      <c r="H860" s="151">
        <f t="shared" si="29"/>
        <v>-8.4171376838190204E-3</v>
      </c>
      <c r="J860" s="147">
        <v>337.37</v>
      </c>
      <c r="K860" s="147">
        <v>344.81</v>
      </c>
      <c r="L860" s="147">
        <v>336.75</v>
      </c>
      <c r="M860" s="147">
        <v>340.74</v>
      </c>
      <c r="N860" s="147">
        <v>558848</v>
      </c>
      <c r="O860" s="147" t="s">
        <v>890</v>
      </c>
      <c r="P860" s="151">
        <f t="shared" si="30"/>
        <v>-9.8902388918237216E-3</v>
      </c>
    </row>
    <row r="861" spans="2:16" ht="14.25" customHeight="1">
      <c r="B861" s="243">
        <v>395.37230870244855</v>
      </c>
      <c r="C861" s="243">
        <v>396.51930150950176</v>
      </c>
      <c r="D861" s="243">
        <v>389.67622577928603</v>
      </c>
      <c r="E861" s="243">
        <v>389.78314883757065</v>
      </c>
      <c r="F861" s="243">
        <v>5437070.8182747522</v>
      </c>
      <c r="G861" s="243" t="s">
        <v>891</v>
      </c>
      <c r="H861" s="151">
        <f t="shared" si="29"/>
        <v>1.4339152119700715E-2</v>
      </c>
      <c r="J861" s="147">
        <v>338.28</v>
      </c>
      <c r="K861" s="147">
        <v>339.28500000000003</v>
      </c>
      <c r="L861" s="147">
        <v>335.09</v>
      </c>
      <c r="M861" s="147">
        <v>336.74</v>
      </c>
      <c r="N861" s="147">
        <v>282075</v>
      </c>
      <c r="O861" s="147" t="s">
        <v>891</v>
      </c>
      <c r="P861" s="151">
        <f t="shared" si="30"/>
        <v>4.5732612698223818E-3</v>
      </c>
    </row>
    <row r="862" spans="2:16" ht="14.25" customHeight="1">
      <c r="B862" s="243">
        <v>390.36636551912318</v>
      </c>
      <c r="C862" s="243">
        <v>392.1510085646737</v>
      </c>
      <c r="D862" s="243">
        <v>387.31419821899851</v>
      </c>
      <c r="E862" s="243">
        <v>390.37608579714902</v>
      </c>
      <c r="F862" s="243">
        <v>5309804.9111981187</v>
      </c>
      <c r="G862" s="243" t="s">
        <v>892</v>
      </c>
      <c r="H862" s="151">
        <f t="shared" si="29"/>
        <v>-2.4899778391929139E-5</v>
      </c>
      <c r="J862" s="147">
        <v>337.53</v>
      </c>
      <c r="K862" s="147">
        <v>342.68</v>
      </c>
      <c r="L862" s="147">
        <v>334.89</v>
      </c>
      <c r="M862" s="147">
        <v>334.89</v>
      </c>
      <c r="N862" s="147">
        <v>510142</v>
      </c>
      <c r="O862" s="147" t="s">
        <v>892</v>
      </c>
      <c r="P862" s="151">
        <f t="shared" si="30"/>
        <v>7.8831855236047854E-3</v>
      </c>
    </row>
    <row r="863" spans="2:16" ht="14.25" customHeight="1">
      <c r="B863" s="243">
        <v>390.06503690032105</v>
      </c>
      <c r="C863" s="243">
        <v>390.60937246977005</v>
      </c>
      <c r="D863" s="243">
        <v>388.22790435343069</v>
      </c>
      <c r="E863" s="243">
        <v>388.82958956323239</v>
      </c>
      <c r="F863" s="243">
        <v>4025692.4643345485</v>
      </c>
      <c r="G863" s="243" t="s">
        <v>893</v>
      </c>
      <c r="H863" s="151">
        <f t="shared" si="29"/>
        <v>3.1773490759188228E-3</v>
      </c>
      <c r="J863" s="147">
        <v>331.72</v>
      </c>
      <c r="K863" s="147">
        <v>334.7</v>
      </c>
      <c r="L863" s="147">
        <v>327.42</v>
      </c>
      <c r="M863" s="147">
        <v>327.42</v>
      </c>
      <c r="N863" s="147">
        <v>325256</v>
      </c>
      <c r="O863" s="147" t="s">
        <v>893</v>
      </c>
      <c r="P863" s="151">
        <f t="shared" si="30"/>
        <v>1.3132979048317228E-2</v>
      </c>
    </row>
    <row r="864" spans="2:16" ht="14.25" customHeight="1">
      <c r="B864" s="243">
        <v>387.50860377951602</v>
      </c>
      <c r="C864" s="243">
        <v>387.53290447458073</v>
      </c>
      <c r="D864" s="243">
        <v>384.24259036282217</v>
      </c>
      <c r="E864" s="243">
        <v>384.90356926858163</v>
      </c>
      <c r="F864" s="243">
        <v>3906518.9183807769</v>
      </c>
      <c r="G864" s="243" t="s">
        <v>894</v>
      </c>
      <c r="H864" s="151">
        <f t="shared" si="29"/>
        <v>6.7680185867973197E-3</v>
      </c>
      <c r="J864" s="147">
        <v>328.14</v>
      </c>
      <c r="K864" s="147">
        <v>328.24</v>
      </c>
      <c r="L864" s="147">
        <v>320.27</v>
      </c>
      <c r="M864" s="147">
        <v>324.27999999999997</v>
      </c>
      <c r="N864" s="147">
        <v>420583</v>
      </c>
      <c r="O864" s="147" t="s">
        <v>894</v>
      </c>
      <c r="P864" s="151">
        <f t="shared" si="30"/>
        <v>1.1903293450104879E-2</v>
      </c>
    </row>
    <row r="865" spans="2:16" ht="14.25" customHeight="1">
      <c r="B865" s="243">
        <v>383.98014285612351</v>
      </c>
      <c r="C865" s="243">
        <v>385.8269956810397</v>
      </c>
      <c r="D865" s="243">
        <v>383.05671644366544</v>
      </c>
      <c r="E865" s="243">
        <v>383.9995834121753</v>
      </c>
      <c r="F865" s="243">
        <v>3151008.635603732</v>
      </c>
      <c r="G865" s="243" t="s">
        <v>895</v>
      </c>
      <c r="H865" s="151">
        <f t="shared" si="29"/>
        <v>-5.0626502974382426E-5</v>
      </c>
      <c r="J865" s="147">
        <v>323.08999999999997</v>
      </c>
      <c r="K865" s="147">
        <v>325.01749999999998</v>
      </c>
      <c r="L865" s="147">
        <v>315.8</v>
      </c>
      <c r="M865" s="147">
        <v>315.8</v>
      </c>
      <c r="N865" s="147">
        <v>199174</v>
      </c>
      <c r="O865" s="147" t="s">
        <v>895</v>
      </c>
      <c r="P865" s="151">
        <f t="shared" si="30"/>
        <v>2.3084230525649119E-2</v>
      </c>
    </row>
    <row r="866" spans="2:16" ht="14.25" customHeight="1">
      <c r="B866" s="243">
        <v>383.33860450641583</v>
      </c>
      <c r="C866" s="243">
        <v>383.68853451534733</v>
      </c>
      <c r="D866" s="243">
        <v>380.34475887444648</v>
      </c>
      <c r="E866" s="243">
        <v>380.99601750218005</v>
      </c>
      <c r="F866" s="243">
        <v>3559930.066597715</v>
      </c>
      <c r="G866" s="243" t="s">
        <v>896</v>
      </c>
      <c r="H866" s="151">
        <f t="shared" si="29"/>
        <v>6.1485865904684633E-3</v>
      </c>
      <c r="J866" s="147">
        <v>314.72000000000003</v>
      </c>
      <c r="K866" s="147">
        <v>316.16000000000003</v>
      </c>
      <c r="L866" s="147">
        <v>310.16000000000003</v>
      </c>
      <c r="M866" s="147">
        <v>311.57</v>
      </c>
      <c r="N866" s="147">
        <v>225611</v>
      </c>
      <c r="O866" s="147" t="s">
        <v>896</v>
      </c>
      <c r="P866" s="151">
        <f t="shared" si="30"/>
        <v>1.01100876207596E-2</v>
      </c>
    </row>
    <row r="867" spans="2:16" ht="14.25" customHeight="1">
      <c r="B867" s="243">
        <v>381.05433917033525</v>
      </c>
      <c r="C867" s="243">
        <v>383.7176953494249</v>
      </c>
      <c r="D867" s="243">
        <v>380.58776582509336</v>
      </c>
      <c r="E867" s="243">
        <v>382.65818504460464</v>
      </c>
      <c r="F867" s="243">
        <v>4056358.2538527637</v>
      </c>
      <c r="G867" s="243" t="s">
        <v>897</v>
      </c>
      <c r="H867" s="151">
        <f t="shared" si="29"/>
        <v>-4.1913277618311762E-3</v>
      </c>
      <c r="J867" s="147">
        <v>312.74</v>
      </c>
      <c r="K867" s="147">
        <v>327.04000000000002</v>
      </c>
      <c r="L867" s="147">
        <v>312.61</v>
      </c>
      <c r="M867" s="147">
        <v>322.33</v>
      </c>
      <c r="N867" s="147">
        <v>322573</v>
      </c>
      <c r="O867" s="147" t="s">
        <v>897</v>
      </c>
      <c r="P867" s="151">
        <f t="shared" si="30"/>
        <v>-2.9752117395215993E-2</v>
      </c>
    </row>
    <row r="868" spans="2:16" ht="14.25" customHeight="1">
      <c r="B868" s="243">
        <v>382.30825503567314</v>
      </c>
      <c r="C868" s="243">
        <v>382.7748283809151</v>
      </c>
      <c r="D868" s="243">
        <v>380.46140221075694</v>
      </c>
      <c r="E868" s="243">
        <v>381.08350000441294</v>
      </c>
      <c r="F868" s="243">
        <v>2977963.1737843766</v>
      </c>
      <c r="G868" s="243" t="s">
        <v>898</v>
      </c>
      <c r="H868" s="151">
        <f t="shared" si="29"/>
        <v>3.2138757811503993E-3</v>
      </c>
      <c r="J868" s="147">
        <v>322.37</v>
      </c>
      <c r="K868" s="147">
        <v>322.77999999999997</v>
      </c>
      <c r="L868" s="147">
        <v>319.10000000000002</v>
      </c>
      <c r="M868" s="147">
        <v>320.85000000000002</v>
      </c>
      <c r="N868" s="147">
        <v>146677</v>
      </c>
      <c r="O868" s="147" t="s">
        <v>898</v>
      </c>
      <c r="P868" s="151">
        <f t="shared" si="30"/>
        <v>4.73741623811752E-3</v>
      </c>
    </row>
    <row r="869" spans="2:16" ht="14.25" customHeight="1">
      <c r="B869" s="243">
        <v>381.52091251557727</v>
      </c>
      <c r="C869" s="243">
        <v>383.7274156274508</v>
      </c>
      <c r="D869" s="243">
        <v>380.83077277574017</v>
      </c>
      <c r="E869" s="243">
        <v>382.53182143026822</v>
      </c>
      <c r="F869" s="243">
        <v>4127225.568364379</v>
      </c>
      <c r="G869" s="243" t="s">
        <v>899</v>
      </c>
      <c r="H869" s="151">
        <f t="shared" si="29"/>
        <v>-2.642679270213999E-3</v>
      </c>
      <c r="J869" s="147">
        <v>321.83</v>
      </c>
      <c r="K869" s="147">
        <v>323</v>
      </c>
      <c r="L869" s="147">
        <v>318.60000000000002</v>
      </c>
      <c r="M869" s="147">
        <v>318.11</v>
      </c>
      <c r="N869" s="147">
        <v>244675</v>
      </c>
      <c r="O869" s="147" t="s">
        <v>899</v>
      </c>
      <c r="P869" s="151">
        <f t="shared" si="30"/>
        <v>1.1694068089654452E-2</v>
      </c>
    </row>
    <row r="870" spans="2:16" ht="14.25" customHeight="1">
      <c r="B870" s="243">
        <v>382.25965364554372</v>
      </c>
      <c r="C870" s="243">
        <v>382.94007310735492</v>
      </c>
      <c r="D870" s="243">
        <v>378.64371021991843</v>
      </c>
      <c r="E870" s="243">
        <v>379.16860523331559</v>
      </c>
      <c r="F870" s="243">
        <v>7580958.055299025</v>
      </c>
      <c r="G870" s="243" t="s">
        <v>900</v>
      </c>
      <c r="H870" s="151">
        <f t="shared" si="29"/>
        <v>8.152173913043459E-3</v>
      </c>
      <c r="J870" s="147">
        <v>320.86</v>
      </c>
      <c r="K870" s="147">
        <v>320.94</v>
      </c>
      <c r="L870" s="147">
        <v>312.08</v>
      </c>
      <c r="M870" s="147">
        <v>315.07</v>
      </c>
      <c r="N870" s="147">
        <v>292738</v>
      </c>
      <c r="O870" s="147" t="s">
        <v>900</v>
      </c>
      <c r="P870" s="151">
        <f t="shared" si="30"/>
        <v>1.8376868632367538E-2</v>
      </c>
    </row>
    <row r="871" spans="2:16" ht="14.25" customHeight="1">
      <c r="B871" s="243">
        <v>376.72881544882108</v>
      </c>
      <c r="C871" s="243">
        <v>377.70084325140857</v>
      </c>
      <c r="D871" s="243">
        <v>372.25748755691882</v>
      </c>
      <c r="E871" s="243">
        <v>373.45308175410133</v>
      </c>
      <c r="F871" s="243">
        <v>3666103.9843861563</v>
      </c>
      <c r="G871" s="243" t="s">
        <v>901</v>
      </c>
      <c r="H871" s="151">
        <f t="shared" si="29"/>
        <v>8.7714731910464305E-3</v>
      </c>
      <c r="J871" s="147">
        <v>314.24</v>
      </c>
      <c r="K871" s="147">
        <v>314.87</v>
      </c>
      <c r="L871" s="147">
        <v>305.64</v>
      </c>
      <c r="M871" s="147">
        <v>308.2</v>
      </c>
      <c r="N871" s="147">
        <v>241773</v>
      </c>
      <c r="O871" s="147" t="s">
        <v>901</v>
      </c>
      <c r="P871" s="151">
        <f t="shared" si="30"/>
        <v>1.9597663854640013E-2</v>
      </c>
    </row>
    <row r="872" spans="2:16" ht="14.25" customHeight="1">
      <c r="B872" s="243">
        <v>373.15175313529926</v>
      </c>
      <c r="C872" s="243">
        <v>374.38622844458536</v>
      </c>
      <c r="D872" s="243">
        <v>371.72287226549571</v>
      </c>
      <c r="E872" s="243">
        <v>373.56000481238601</v>
      </c>
      <c r="F872" s="243">
        <v>4326365.9627900664</v>
      </c>
      <c r="G872" s="243" t="s">
        <v>902</v>
      </c>
      <c r="H872" s="151">
        <f t="shared" si="29"/>
        <v>-1.0928677369832496E-3</v>
      </c>
      <c r="J872" s="147">
        <v>307.33999999999997</v>
      </c>
      <c r="K872" s="147">
        <v>310</v>
      </c>
      <c r="L872" s="147">
        <v>304.53789999999998</v>
      </c>
      <c r="M872" s="147">
        <v>309.98</v>
      </c>
      <c r="N872" s="147">
        <v>267491</v>
      </c>
      <c r="O872" s="147" t="s">
        <v>902</v>
      </c>
      <c r="P872" s="151">
        <f t="shared" si="30"/>
        <v>-8.5166784953869534E-3</v>
      </c>
    </row>
    <row r="873" spans="2:16" ht="14.25" customHeight="1">
      <c r="B873" s="243">
        <v>375.19301152073291</v>
      </c>
      <c r="C873" s="243">
        <v>377.39951463260644</v>
      </c>
      <c r="D873" s="243">
        <v>373.99741732355034</v>
      </c>
      <c r="E873" s="243">
        <v>376.91350073131269</v>
      </c>
      <c r="F873" s="243">
        <v>4082651.7404505406</v>
      </c>
      <c r="G873" s="243" t="s">
        <v>903</v>
      </c>
      <c r="H873" s="151">
        <f t="shared" si="29"/>
        <v>-4.5646791829997424E-3</v>
      </c>
      <c r="J873" s="147">
        <v>310.73</v>
      </c>
      <c r="K873" s="147">
        <v>314.29000000000002</v>
      </c>
      <c r="L873" s="147">
        <v>306.39999999999998</v>
      </c>
      <c r="M873" s="147">
        <v>306.39999999999998</v>
      </c>
      <c r="N873" s="147">
        <v>289421</v>
      </c>
      <c r="O873" s="147" t="s">
        <v>903</v>
      </c>
      <c r="P873" s="151">
        <f t="shared" si="30"/>
        <v>1.4131853785900983E-2</v>
      </c>
    </row>
    <row r="874" spans="2:16" ht="14.25" customHeight="1">
      <c r="B874" s="243">
        <v>375.07636818442245</v>
      </c>
      <c r="C874" s="243">
        <v>375.75678764623365</v>
      </c>
      <c r="D874" s="243">
        <v>370.86262766020582</v>
      </c>
      <c r="E874" s="243">
        <v>370.96469057947746</v>
      </c>
      <c r="F874" s="243">
        <v>3130354.9053847413</v>
      </c>
      <c r="G874" s="243" t="s">
        <v>904</v>
      </c>
      <c r="H874" s="151">
        <f t="shared" si="29"/>
        <v>1.1083743842364546E-2</v>
      </c>
      <c r="J874" s="147">
        <v>306.5</v>
      </c>
      <c r="K874" s="147">
        <v>308.70999999999998</v>
      </c>
      <c r="L874" s="147">
        <v>303</v>
      </c>
      <c r="M874" s="147">
        <v>304.94</v>
      </c>
      <c r="N874" s="147">
        <v>254268</v>
      </c>
      <c r="O874" s="147" t="s">
        <v>904</v>
      </c>
      <c r="P874" s="151">
        <f t="shared" si="30"/>
        <v>5.1157604774709764E-3</v>
      </c>
    </row>
    <row r="875" spans="2:16" ht="14.25" customHeight="1">
      <c r="B875" s="243">
        <v>370.26483056161453</v>
      </c>
      <c r="C875" s="243">
        <v>371.5867883731334</v>
      </c>
      <c r="D875" s="243">
        <v>368.32077495643961</v>
      </c>
      <c r="E875" s="243">
        <v>370.33287250779563</v>
      </c>
      <c r="F875" s="243">
        <v>3411293.3716231384</v>
      </c>
      <c r="G875" s="243" t="s">
        <v>905</v>
      </c>
      <c r="H875" s="151">
        <f t="shared" si="29"/>
        <v>-1.8373185647913015E-4</v>
      </c>
      <c r="J875" s="147">
        <v>304.89999999999998</v>
      </c>
      <c r="K875" s="147">
        <v>309.42</v>
      </c>
      <c r="L875" s="147">
        <v>303.48</v>
      </c>
      <c r="M875" s="147">
        <v>309.13</v>
      </c>
      <c r="N875" s="147">
        <v>334875</v>
      </c>
      <c r="O875" s="147" t="s">
        <v>905</v>
      </c>
      <c r="P875" s="151">
        <f t="shared" si="30"/>
        <v>-1.368356354931588E-2</v>
      </c>
    </row>
    <row r="876" spans="2:16" ht="14.25" customHeight="1">
      <c r="B876" s="243">
        <v>367.06685909110178</v>
      </c>
      <c r="C876" s="243">
        <v>368.64154413129347</v>
      </c>
      <c r="D876" s="243">
        <v>366.03650962035908</v>
      </c>
      <c r="E876" s="243">
        <v>368.31105467841377</v>
      </c>
      <c r="F876" s="243">
        <v>3715523.3527129977</v>
      </c>
      <c r="G876" s="243" t="s">
        <v>906</v>
      </c>
      <c r="H876" s="151">
        <f t="shared" si="29"/>
        <v>-3.378110897046871E-3</v>
      </c>
      <c r="J876" s="147">
        <v>307.57</v>
      </c>
      <c r="K876" s="147">
        <v>310.76</v>
      </c>
      <c r="L876" s="147">
        <v>302.11</v>
      </c>
      <c r="M876" s="147">
        <v>303.20999999999998</v>
      </c>
      <c r="N876" s="147">
        <v>222155</v>
      </c>
      <c r="O876" s="147" t="s">
        <v>906</v>
      </c>
      <c r="P876" s="151">
        <f t="shared" si="30"/>
        <v>1.4379472972527285E-2</v>
      </c>
    </row>
    <row r="877" spans="2:16" ht="14.25" customHeight="1">
      <c r="B877" s="243">
        <v>369.83713832847604</v>
      </c>
      <c r="C877" s="243">
        <v>373.3655992518685</v>
      </c>
      <c r="D877" s="243">
        <v>369.44832720744103</v>
      </c>
      <c r="E877" s="243">
        <v>372.47133367348806</v>
      </c>
      <c r="F877" s="243">
        <v>2970351.2515941835</v>
      </c>
      <c r="G877" s="243" t="s">
        <v>907</v>
      </c>
      <c r="H877" s="151">
        <f t="shared" si="29"/>
        <v>-7.0722096088102759E-3</v>
      </c>
      <c r="J877" s="147">
        <v>305.72000000000003</v>
      </c>
      <c r="K877" s="147">
        <v>318.93</v>
      </c>
      <c r="L877" s="147">
        <v>301.43</v>
      </c>
      <c r="M877" s="147">
        <v>316.64</v>
      </c>
      <c r="N877" s="147">
        <v>400887</v>
      </c>
      <c r="O877" s="147" t="s">
        <v>907</v>
      </c>
      <c r="P877" s="151">
        <f t="shared" si="30"/>
        <v>-3.4487114704396027E-2</v>
      </c>
    </row>
    <row r="878" spans="2:16" ht="14.25" customHeight="1">
      <c r="B878" s="243">
        <v>374.01685787960207</v>
      </c>
      <c r="C878" s="243">
        <v>375.42629819335394</v>
      </c>
      <c r="D878" s="243">
        <v>372.74350145821256</v>
      </c>
      <c r="E878" s="243">
        <v>373.90021454329161</v>
      </c>
      <c r="F878" s="243">
        <v>2864127.9525021706</v>
      </c>
      <c r="G878" s="243" t="s">
        <v>908</v>
      </c>
      <c r="H878" s="151">
        <f t="shared" si="29"/>
        <v>3.1196381219777969E-4</v>
      </c>
      <c r="J878" s="147">
        <v>318.64999999999998</v>
      </c>
      <c r="K878" s="147">
        <v>322.83499999999998</v>
      </c>
      <c r="L878" s="147">
        <v>316.68</v>
      </c>
      <c r="M878" s="147">
        <v>316.89</v>
      </c>
      <c r="N878" s="147">
        <v>321040</v>
      </c>
      <c r="O878" s="147" t="s">
        <v>908</v>
      </c>
      <c r="P878" s="151">
        <f t="shared" si="30"/>
        <v>5.5539777209756558E-3</v>
      </c>
    </row>
    <row r="879" spans="2:16" ht="14.25" customHeight="1">
      <c r="B879" s="243">
        <v>373.81273204105872</v>
      </c>
      <c r="C879" s="243">
        <v>375.72762681215602</v>
      </c>
      <c r="D879" s="243">
        <v>372.71434062413488</v>
      </c>
      <c r="E879" s="243">
        <v>375.22217235481054</v>
      </c>
      <c r="F879" s="243">
        <v>3754052.0860478966</v>
      </c>
      <c r="G879" s="243" t="s">
        <v>909</v>
      </c>
      <c r="H879" s="151">
        <f t="shared" si="29"/>
        <v>-3.7562820579244427E-3</v>
      </c>
      <c r="J879" s="147">
        <v>317.60000000000002</v>
      </c>
      <c r="K879" s="147">
        <v>320.83</v>
      </c>
      <c r="L879" s="147">
        <v>314.02999999999997</v>
      </c>
      <c r="M879" s="147">
        <v>316.11</v>
      </c>
      <c r="N879" s="147">
        <v>371620</v>
      </c>
      <c r="O879" s="147" t="s">
        <v>909</v>
      </c>
      <c r="P879" s="151">
        <f t="shared" si="30"/>
        <v>4.7135490810161773E-3</v>
      </c>
    </row>
    <row r="880" spans="2:16" ht="14.25" customHeight="1">
      <c r="B880" s="243">
        <v>374.40566900063709</v>
      </c>
      <c r="C880" s="243">
        <v>374.78475984364616</v>
      </c>
      <c r="D880" s="243">
        <v>370.34259278582152</v>
      </c>
      <c r="E880" s="243">
        <v>370.59532001449423</v>
      </c>
      <c r="F880" s="243">
        <v>3436753.5487231379</v>
      </c>
      <c r="G880" s="243" t="s">
        <v>910</v>
      </c>
      <c r="H880" s="151">
        <f t="shared" si="29"/>
        <v>1.0281697529245237E-2</v>
      </c>
      <c r="J880" s="147">
        <v>315.10000000000002</v>
      </c>
      <c r="K880" s="147">
        <v>318.47500000000002</v>
      </c>
      <c r="L880" s="147">
        <v>314.06</v>
      </c>
      <c r="M880" s="147">
        <v>315.39</v>
      </c>
      <c r="N880" s="147">
        <v>250056</v>
      </c>
      <c r="O880" s="147" t="s">
        <v>910</v>
      </c>
      <c r="P880" s="151">
        <f t="shared" si="30"/>
        <v>-9.1949649640121756E-4</v>
      </c>
    </row>
    <row r="881" spans="2:16" ht="14.25" customHeight="1">
      <c r="B881" s="243">
        <v>370.78000529698585</v>
      </c>
      <c r="C881" s="243">
        <v>371.40210309064179</v>
      </c>
      <c r="D881" s="243">
        <v>366.72664936019612</v>
      </c>
      <c r="E881" s="243">
        <v>368.25273301025851</v>
      </c>
      <c r="F881" s="243">
        <v>3315383.5635375697</v>
      </c>
      <c r="G881" s="243" t="s">
        <v>911</v>
      </c>
      <c r="H881" s="151">
        <f t="shared" si="29"/>
        <v>6.8628744885836923E-3</v>
      </c>
      <c r="J881" s="147">
        <v>313.77999999999997</v>
      </c>
      <c r="K881" s="147">
        <v>316.99</v>
      </c>
      <c r="L881" s="147">
        <v>312.01</v>
      </c>
      <c r="M881" s="147">
        <v>315.25</v>
      </c>
      <c r="N881" s="147">
        <v>234923</v>
      </c>
      <c r="O881" s="147" t="s">
        <v>911</v>
      </c>
      <c r="P881" s="151">
        <f t="shared" si="30"/>
        <v>-4.6629659000794188E-3</v>
      </c>
    </row>
    <row r="882" spans="2:16" ht="14.25" customHeight="1">
      <c r="B882" s="243">
        <v>366.40588018534231</v>
      </c>
      <c r="C882" s="243">
        <v>368.67070496537104</v>
      </c>
      <c r="D882" s="243">
        <v>366.36699907323884</v>
      </c>
      <c r="E882" s="243">
        <v>367.80560022106823</v>
      </c>
      <c r="F882" s="243">
        <v>2343159.3149261507</v>
      </c>
      <c r="G882" s="243" t="s">
        <v>912</v>
      </c>
      <c r="H882" s="151">
        <f t="shared" si="29"/>
        <v>-3.8055973995083647E-3</v>
      </c>
      <c r="J882" s="147">
        <v>315.77999999999997</v>
      </c>
      <c r="K882" s="147">
        <v>317.23</v>
      </c>
      <c r="L882" s="147">
        <v>308.5</v>
      </c>
      <c r="M882" s="147">
        <v>312.89</v>
      </c>
      <c r="N882" s="147">
        <v>624065</v>
      </c>
      <c r="O882" s="147" t="s">
        <v>912</v>
      </c>
      <c r="P882" s="151">
        <f t="shared" si="30"/>
        <v>9.2364728818434827E-3</v>
      </c>
    </row>
    <row r="883" spans="2:16" ht="14.25" customHeight="1">
      <c r="B883" s="243">
        <v>368.84566996983682</v>
      </c>
      <c r="C883" s="243">
        <v>369.21504053482005</v>
      </c>
      <c r="D883" s="243">
        <v>366.36699907323884</v>
      </c>
      <c r="E883" s="243">
        <v>368.14580995197389</v>
      </c>
      <c r="F883" s="243">
        <v>3994290.0703713847</v>
      </c>
      <c r="G883" s="243" t="s">
        <v>913</v>
      </c>
      <c r="H883" s="151">
        <f t="shared" si="29"/>
        <v>1.9010402914927393E-3</v>
      </c>
      <c r="J883" s="147">
        <v>314.92</v>
      </c>
      <c r="K883" s="147">
        <v>320.76</v>
      </c>
      <c r="L883" s="147">
        <v>313.25</v>
      </c>
      <c r="M883" s="147">
        <v>319.70999999999998</v>
      </c>
      <c r="N883" s="147">
        <v>297238</v>
      </c>
      <c r="O883" s="147" t="s">
        <v>913</v>
      </c>
      <c r="P883" s="151">
        <f t="shared" si="30"/>
        <v>-1.4982327734509249E-2</v>
      </c>
    </row>
    <row r="884" spans="2:16" ht="14.25" customHeight="1">
      <c r="B884" s="243">
        <v>367.57231354844726</v>
      </c>
      <c r="C884" s="243">
        <v>369.38028526125993</v>
      </c>
      <c r="D884" s="243">
        <v>365.32206918545728</v>
      </c>
      <c r="E884" s="243">
        <v>369.22476081284594</v>
      </c>
      <c r="F884" s="243">
        <v>2603850.4179228684</v>
      </c>
      <c r="G884" s="243" t="s">
        <v>914</v>
      </c>
      <c r="H884" s="151">
        <f t="shared" si="29"/>
        <v>-4.4754508358563205E-3</v>
      </c>
      <c r="J884" s="147">
        <v>320.45999999999998</v>
      </c>
      <c r="K884" s="147">
        <v>324.38</v>
      </c>
      <c r="L884" s="147">
        <v>317.38</v>
      </c>
      <c r="M884" s="147">
        <v>317.62</v>
      </c>
      <c r="N884" s="147">
        <v>351219</v>
      </c>
      <c r="O884" s="147" t="s">
        <v>914</v>
      </c>
      <c r="P884" s="151">
        <f t="shared" si="30"/>
        <v>8.9415024242804897E-3</v>
      </c>
    </row>
    <row r="885" spans="2:16" ht="14.25" customHeight="1">
      <c r="B885" s="243">
        <v>368.0680477277669</v>
      </c>
      <c r="C885" s="243">
        <v>368.28189384433608</v>
      </c>
      <c r="D885" s="243">
        <v>366.13371240061781</v>
      </c>
      <c r="E885" s="243">
        <v>367.88336244527528</v>
      </c>
      <c r="F885" s="243">
        <v>2753647.5735313874</v>
      </c>
      <c r="G885" s="243" t="s">
        <v>915</v>
      </c>
      <c r="H885" s="151">
        <f t="shared" si="29"/>
        <v>5.0202129627185954E-4</v>
      </c>
      <c r="J885" s="147">
        <v>317.39</v>
      </c>
      <c r="K885" s="147">
        <v>321.43</v>
      </c>
      <c r="L885" s="147">
        <v>316.83999999999997</v>
      </c>
      <c r="M885" s="147">
        <v>320.67</v>
      </c>
      <c r="N885" s="147">
        <v>287706</v>
      </c>
      <c r="O885" s="147" t="s">
        <v>915</v>
      </c>
      <c r="P885" s="151">
        <f t="shared" si="30"/>
        <v>-1.0228583902454291E-2</v>
      </c>
    </row>
    <row r="886" spans="2:16" ht="14.25" customHeight="1">
      <c r="B886" s="243">
        <v>368.58322246313821</v>
      </c>
      <c r="C886" s="243">
        <v>370.17734805938164</v>
      </c>
      <c r="D886" s="243">
        <v>365.13252376395269</v>
      </c>
      <c r="E886" s="243">
        <v>369.64273276795853</v>
      </c>
      <c r="F886" s="243">
        <v>3614039.6299867393</v>
      </c>
      <c r="G886" s="243" t="s">
        <v>916</v>
      </c>
      <c r="H886" s="151">
        <f t="shared" si="29"/>
        <v>-2.8663090354474896E-3</v>
      </c>
      <c r="J886" s="147">
        <v>320</v>
      </c>
      <c r="K886" s="147">
        <v>320.5</v>
      </c>
      <c r="L886" s="147">
        <v>313.995</v>
      </c>
      <c r="M886" s="147">
        <v>315.39</v>
      </c>
      <c r="N886" s="147">
        <v>451734</v>
      </c>
      <c r="O886" s="147" t="s">
        <v>916</v>
      </c>
      <c r="P886" s="151">
        <f t="shared" si="30"/>
        <v>1.4616823615206664E-2</v>
      </c>
    </row>
    <row r="887" spans="2:16" ht="14.25" customHeight="1">
      <c r="B887" s="243">
        <v>366.97937658886894</v>
      </c>
      <c r="C887" s="243">
        <v>367.99028550355985</v>
      </c>
      <c r="D887" s="243">
        <v>366.77525075032554</v>
      </c>
      <c r="E887" s="243">
        <v>367.14462131530877</v>
      </c>
      <c r="F887" s="243">
        <v>2336403.3353312062</v>
      </c>
      <c r="G887" s="243" t="s">
        <v>917</v>
      </c>
      <c r="H887" s="151">
        <f t="shared" si="29"/>
        <v>-4.500807497814785E-4</v>
      </c>
      <c r="J887" s="147">
        <v>314.87</v>
      </c>
      <c r="K887" s="147">
        <v>317.77</v>
      </c>
      <c r="L887" s="147">
        <v>307.75</v>
      </c>
      <c r="M887" s="147">
        <v>309.89999999999998</v>
      </c>
      <c r="N887" s="147">
        <v>334421</v>
      </c>
      <c r="O887" s="147" t="s">
        <v>917</v>
      </c>
      <c r="P887" s="151">
        <f t="shared" si="30"/>
        <v>1.6037431429493543E-2</v>
      </c>
    </row>
    <row r="888" spans="2:16" ht="14.25" customHeight="1">
      <c r="B888" s="243">
        <v>368.57350218511232</v>
      </c>
      <c r="C888" s="243">
        <v>369.0011944182508</v>
      </c>
      <c r="D888" s="243">
        <v>367.30986604174865</v>
      </c>
      <c r="E888" s="243">
        <v>368.79706857970746</v>
      </c>
      <c r="F888" s="243">
        <v>3042729.8397505339</v>
      </c>
      <c r="G888" s="243" t="s">
        <v>918</v>
      </c>
      <c r="H888" s="151">
        <f t="shared" si="29"/>
        <v>-6.0620436994285321E-4</v>
      </c>
      <c r="J888" s="147">
        <v>310.69</v>
      </c>
      <c r="K888" s="147">
        <v>314.91500000000002</v>
      </c>
      <c r="L888" s="147">
        <v>306.98</v>
      </c>
      <c r="M888" s="147">
        <v>308.87</v>
      </c>
      <c r="N888" s="147">
        <v>312228</v>
      </c>
      <c r="O888" s="147" t="s">
        <v>918</v>
      </c>
      <c r="P888" s="151">
        <f t="shared" si="30"/>
        <v>5.8924466604073356E-3</v>
      </c>
    </row>
    <row r="889" spans="2:16" ht="14.25" customHeight="1">
      <c r="B889" s="243">
        <v>368.36937634656897</v>
      </c>
      <c r="C889" s="243">
        <v>369.45804748546692</v>
      </c>
      <c r="D889" s="243">
        <v>364.9283979254094</v>
      </c>
      <c r="E889" s="243">
        <v>365.22972654421147</v>
      </c>
      <c r="F889" s="243">
        <v>3229736.8363777162</v>
      </c>
      <c r="G889" s="243" t="s">
        <v>919</v>
      </c>
      <c r="H889" s="151">
        <f t="shared" si="29"/>
        <v>8.5963698302018443E-3</v>
      </c>
      <c r="J889" s="147">
        <v>310.08</v>
      </c>
      <c r="K889" s="147">
        <v>311.2</v>
      </c>
      <c r="L889" s="147">
        <v>297.63400000000001</v>
      </c>
      <c r="M889" s="147">
        <v>299.17</v>
      </c>
      <c r="N889" s="147">
        <v>521013</v>
      </c>
      <c r="O889" s="147" t="s">
        <v>919</v>
      </c>
      <c r="P889" s="151">
        <f t="shared" si="30"/>
        <v>3.6467560250025066E-2</v>
      </c>
    </row>
    <row r="890" spans="2:16" ht="14.25" customHeight="1">
      <c r="B890" s="243">
        <v>361.73042645489659</v>
      </c>
      <c r="C890" s="243">
        <v>363.64532122599394</v>
      </c>
      <c r="D890" s="243">
        <v>360.54455253573997</v>
      </c>
      <c r="E890" s="243">
        <v>363.38287371929528</v>
      </c>
      <c r="F890" s="243">
        <v>4548721.7425575415</v>
      </c>
      <c r="G890" s="243" t="s">
        <v>920</v>
      </c>
      <c r="H890" s="151">
        <f t="shared" si="29"/>
        <v>-4.5473999572009927E-3</v>
      </c>
      <c r="J890" s="147">
        <v>301.88</v>
      </c>
      <c r="K890" s="147">
        <v>310</v>
      </c>
      <c r="L890" s="147">
        <v>299.16000000000003</v>
      </c>
      <c r="M890" s="147">
        <v>301</v>
      </c>
      <c r="N890" s="147">
        <v>549705</v>
      </c>
      <c r="O890" s="147" t="s">
        <v>920</v>
      </c>
      <c r="P890" s="151">
        <f t="shared" si="30"/>
        <v>2.9235880398670311E-3</v>
      </c>
    </row>
    <row r="891" spans="2:16" ht="14.25" customHeight="1">
      <c r="B891" s="243">
        <v>364.39378263398623</v>
      </c>
      <c r="C891" s="243">
        <v>369.56497054375154</v>
      </c>
      <c r="D891" s="243">
        <v>364.12161484926179</v>
      </c>
      <c r="E891" s="243">
        <v>367.33902687582628</v>
      </c>
      <c r="F891" s="243">
        <v>5671688.5929854512</v>
      </c>
      <c r="G891" s="243" t="s">
        <v>921</v>
      </c>
      <c r="H891" s="151">
        <f t="shared" si="29"/>
        <v>-8.0177820115902021E-3</v>
      </c>
      <c r="J891" s="147">
        <v>301.04000000000002</v>
      </c>
      <c r="K891" s="147">
        <v>306.7</v>
      </c>
      <c r="L891" s="147">
        <v>284.32</v>
      </c>
      <c r="M891" s="147">
        <v>285.33</v>
      </c>
      <c r="N891" s="147">
        <v>1117057</v>
      </c>
      <c r="O891" s="147" t="s">
        <v>921</v>
      </c>
      <c r="P891" s="151">
        <f t="shared" si="30"/>
        <v>5.5059054428206133E-2</v>
      </c>
    </row>
    <row r="892" spans="2:16" ht="14.25" customHeight="1">
      <c r="B892" s="243">
        <v>366.95021575479126</v>
      </c>
      <c r="C892" s="243">
        <v>370.44951584410614</v>
      </c>
      <c r="D892" s="243">
        <v>364.18965679544289</v>
      </c>
      <c r="E892" s="243">
        <v>370.40091445397678</v>
      </c>
      <c r="F892" s="243">
        <v>4435665.3055837518</v>
      </c>
      <c r="G892" s="243" t="s">
        <v>922</v>
      </c>
      <c r="H892" s="151">
        <f t="shared" si="29"/>
        <v>-9.3161181966096018E-3</v>
      </c>
      <c r="J892" s="147">
        <v>281.33</v>
      </c>
      <c r="K892" s="147">
        <v>285.48</v>
      </c>
      <c r="L892" s="147">
        <v>279</v>
      </c>
      <c r="M892" s="147">
        <v>283.88</v>
      </c>
      <c r="N892" s="147">
        <v>635562</v>
      </c>
      <c r="O892" s="147" t="s">
        <v>922</v>
      </c>
      <c r="P892" s="151">
        <f t="shared" si="30"/>
        <v>-8.9826687332675847E-3</v>
      </c>
    </row>
    <row r="893" spans="2:16" ht="14.25" customHeight="1">
      <c r="B893" s="243">
        <v>371.11049474986561</v>
      </c>
      <c r="C893" s="243">
        <v>372.90874618465239</v>
      </c>
      <c r="D893" s="243">
        <v>370.84804724316695</v>
      </c>
      <c r="E893" s="243">
        <v>371.05217308171035</v>
      </c>
      <c r="F893" s="243">
        <v>3157622.6439509075</v>
      </c>
      <c r="G893" s="243" t="s">
        <v>923</v>
      </c>
      <c r="H893" s="151">
        <f t="shared" si="29"/>
        <v>1.5717915804369653E-4</v>
      </c>
      <c r="J893" s="147">
        <v>285.45999999999998</v>
      </c>
      <c r="K893" s="147">
        <v>288.82</v>
      </c>
      <c r="L893" s="147">
        <v>282.33</v>
      </c>
      <c r="M893" s="147">
        <v>284.25</v>
      </c>
      <c r="N893" s="147">
        <v>377902</v>
      </c>
      <c r="O893" s="147" t="s">
        <v>923</v>
      </c>
      <c r="P893" s="151">
        <f t="shared" si="30"/>
        <v>4.2568161829374951E-3</v>
      </c>
    </row>
    <row r="894" spans="2:16" ht="14.25" customHeight="1">
      <c r="B894" s="243">
        <v>371.36322197853838</v>
      </c>
      <c r="C894" s="243">
        <v>371.43126392471947</v>
      </c>
      <c r="D894" s="243">
        <v>367.42650937805911</v>
      </c>
      <c r="E894" s="243">
        <v>367.46539049016263</v>
      </c>
      <c r="F894" s="243">
        <v>3484372.5570239169</v>
      </c>
      <c r="G894" s="243" t="s">
        <v>924</v>
      </c>
      <c r="H894" s="151">
        <f t="shared" si="29"/>
        <v>1.0607343138292258E-2</v>
      </c>
      <c r="J894" s="147">
        <v>284.12</v>
      </c>
      <c r="K894" s="147">
        <v>287.14999999999998</v>
      </c>
      <c r="L894" s="147">
        <v>280</v>
      </c>
      <c r="M894" s="147">
        <v>283.16000000000003</v>
      </c>
      <c r="N894" s="147">
        <v>605593</v>
      </c>
      <c r="O894" s="147" t="s">
        <v>924</v>
      </c>
      <c r="P894" s="151">
        <f t="shared" si="30"/>
        <v>3.3903093657294825E-3</v>
      </c>
    </row>
    <row r="895" spans="2:16" ht="14.25" customHeight="1">
      <c r="B895" s="243">
        <v>368.21385189815499</v>
      </c>
      <c r="C895" s="243">
        <v>368.52490079498295</v>
      </c>
      <c r="D895" s="243">
        <v>363.21762899285545</v>
      </c>
      <c r="E895" s="243">
        <v>363.43147510942464</v>
      </c>
      <c r="F895" s="243">
        <v>4426187.1816294007</v>
      </c>
      <c r="G895" s="243" t="s">
        <v>925</v>
      </c>
      <c r="H895" s="151">
        <f t="shared" si="29"/>
        <v>1.315895049346083E-2</v>
      </c>
      <c r="J895" s="147">
        <v>283.16000000000003</v>
      </c>
      <c r="K895" s="147">
        <v>285.27999999999997</v>
      </c>
      <c r="L895" s="147">
        <v>280.77</v>
      </c>
      <c r="M895" s="147">
        <v>283.35000000000002</v>
      </c>
      <c r="N895" s="147">
        <v>414450</v>
      </c>
      <c r="O895" s="147" t="s">
        <v>925</v>
      </c>
      <c r="P895" s="151">
        <f t="shared" si="30"/>
        <v>-6.7054879124761602E-4</v>
      </c>
    </row>
    <row r="896" spans="2:16" ht="14.25" customHeight="1">
      <c r="B896" s="243">
        <v>361.05000699308539</v>
      </c>
      <c r="C896" s="243">
        <v>364.19937707346878</v>
      </c>
      <c r="D896" s="243">
        <v>360.60287420389517</v>
      </c>
      <c r="E896" s="243">
        <v>363.20790871482961</v>
      </c>
      <c r="F896" s="243">
        <v>3875296.5604202193</v>
      </c>
      <c r="G896" s="243" t="s">
        <v>926</v>
      </c>
      <c r="H896" s="151">
        <f t="shared" si="29"/>
        <v>-5.9412299951829839E-3</v>
      </c>
      <c r="J896" s="147">
        <v>284.18</v>
      </c>
      <c r="K896" s="147">
        <v>284.79000000000002</v>
      </c>
      <c r="L896" s="147">
        <v>280.04000000000002</v>
      </c>
      <c r="M896" s="147">
        <v>284.33999999999997</v>
      </c>
      <c r="N896" s="147">
        <v>293371</v>
      </c>
      <c r="O896" s="147" t="s">
        <v>926</v>
      </c>
      <c r="P896" s="151">
        <f t="shared" si="30"/>
        <v>-5.6270661883650597E-4</v>
      </c>
    </row>
    <row r="897" spans="2:16" ht="14.25" customHeight="1">
      <c r="B897" s="243">
        <v>362.66357314538061</v>
      </c>
      <c r="C897" s="243">
        <v>367.13490103728287</v>
      </c>
      <c r="D897" s="243">
        <v>362.58581092117356</v>
      </c>
      <c r="E897" s="243">
        <v>366.62944657993745</v>
      </c>
      <c r="F897" s="243">
        <v>3904649.6302851452</v>
      </c>
      <c r="G897" s="243" t="s">
        <v>927</v>
      </c>
      <c r="H897" s="151">
        <f t="shared" si="29"/>
        <v>-1.081711649610273E-2</v>
      </c>
      <c r="J897" s="147">
        <v>284.89999999999998</v>
      </c>
      <c r="K897" s="147">
        <v>287.89</v>
      </c>
      <c r="L897" s="147">
        <v>283.75</v>
      </c>
      <c r="M897" s="147">
        <v>286.79000000000002</v>
      </c>
      <c r="N897" s="147">
        <v>291898</v>
      </c>
      <c r="O897" s="147" t="s">
        <v>927</v>
      </c>
      <c r="P897" s="151">
        <f t="shared" si="30"/>
        <v>-6.5901879423970744E-3</v>
      </c>
    </row>
    <row r="898" spans="2:16" ht="14.25" customHeight="1">
      <c r="B898" s="243">
        <v>368.48601968287943</v>
      </c>
      <c r="C898" s="243">
        <v>368.85539024786272</v>
      </c>
      <c r="D898" s="243">
        <v>366.67804797006681</v>
      </c>
      <c r="E898" s="243">
        <v>367.89308272330112</v>
      </c>
      <c r="F898" s="243">
        <v>2376858.9682825711</v>
      </c>
      <c r="G898" s="243" t="s">
        <v>928</v>
      </c>
      <c r="H898" s="151">
        <f t="shared" si="29"/>
        <v>1.6117099978860683E-3</v>
      </c>
      <c r="J898" s="147">
        <v>288.32</v>
      </c>
      <c r="K898" s="147">
        <v>288.88</v>
      </c>
      <c r="L898" s="147">
        <v>279.4588</v>
      </c>
      <c r="M898" s="147">
        <v>280.68</v>
      </c>
      <c r="N898" s="147">
        <v>248829</v>
      </c>
      <c r="O898" s="147" t="s">
        <v>928</v>
      </c>
      <c r="P898" s="151">
        <f t="shared" si="30"/>
        <v>2.7219609519737675E-2</v>
      </c>
    </row>
    <row r="899" spans="2:16" ht="14.25" customHeight="1">
      <c r="B899" s="243">
        <v>368.00000578158568</v>
      </c>
      <c r="C899" s="243">
        <v>368.49573996090538</v>
      </c>
      <c r="D899" s="243">
        <v>366.2795165710059</v>
      </c>
      <c r="E899" s="243">
        <v>368.08748828381863</v>
      </c>
      <c r="F899" s="243">
        <v>2841797.3155160467</v>
      </c>
      <c r="G899" s="243" t="s">
        <v>929</v>
      </c>
      <c r="H899" s="151">
        <f t="shared" si="29"/>
        <v>-2.376676877576811E-4</v>
      </c>
      <c r="J899" s="147">
        <v>279.89999999999998</v>
      </c>
      <c r="K899" s="147">
        <v>280.61</v>
      </c>
      <c r="L899" s="147">
        <v>275.99</v>
      </c>
      <c r="M899" s="147">
        <v>275.99</v>
      </c>
      <c r="N899" s="147">
        <v>248849</v>
      </c>
      <c r="O899" s="147" t="s">
        <v>929</v>
      </c>
      <c r="P899" s="151">
        <f t="shared" si="30"/>
        <v>1.4167179970288712E-2</v>
      </c>
    </row>
    <row r="900" spans="2:16" ht="14.25" customHeight="1">
      <c r="B900" s="243">
        <v>367.7861596650165</v>
      </c>
      <c r="C900" s="243">
        <v>369.43860692941519</v>
      </c>
      <c r="D900" s="243">
        <v>366.39615990731642</v>
      </c>
      <c r="E900" s="243">
        <v>367.21266326148987</v>
      </c>
      <c r="F900" s="243">
        <v>3038156.9252843349</v>
      </c>
      <c r="G900" s="243" t="s">
        <v>930</v>
      </c>
      <c r="H900" s="151">
        <f t="shared" si="29"/>
        <v>1.5617555190852173E-3</v>
      </c>
      <c r="J900" s="147">
        <v>275.22000000000003</v>
      </c>
      <c r="K900" s="147">
        <v>275.52</v>
      </c>
      <c r="L900" s="147">
        <v>272</v>
      </c>
      <c r="M900" s="147">
        <v>273.10000000000002</v>
      </c>
      <c r="N900" s="147">
        <v>408103</v>
      </c>
      <c r="O900" s="147" t="s">
        <v>930</v>
      </c>
      <c r="P900" s="151">
        <f t="shared" si="30"/>
        <v>7.7627242768216753E-3</v>
      </c>
    </row>
    <row r="901" spans="2:16" ht="14.25" customHeight="1">
      <c r="B901" s="243">
        <v>369.87601944057951</v>
      </c>
      <c r="C901" s="243">
        <v>370.66336196067533</v>
      </c>
      <c r="D901" s="243">
        <v>368.07776800579273</v>
      </c>
      <c r="E901" s="243">
        <v>368.13608967394799</v>
      </c>
      <c r="F901" s="243">
        <v>2748183.7380465763</v>
      </c>
      <c r="G901" s="243" t="s">
        <v>931</v>
      </c>
      <c r="H901" s="151">
        <f t="shared" si="29"/>
        <v>4.7263221820292856E-3</v>
      </c>
      <c r="J901" s="147">
        <v>274.25</v>
      </c>
      <c r="K901" s="147">
        <v>280.49</v>
      </c>
      <c r="L901" s="147">
        <v>272.52999999999997</v>
      </c>
      <c r="M901" s="147">
        <v>272.89999999999998</v>
      </c>
      <c r="N901" s="147">
        <v>342709</v>
      </c>
      <c r="O901" s="147" t="s">
        <v>931</v>
      </c>
      <c r="P901" s="151">
        <f t="shared" si="30"/>
        <v>4.9468669842434032E-3</v>
      </c>
    </row>
    <row r="902" spans="2:16" ht="14.25" customHeight="1">
      <c r="B902" s="243">
        <v>369.8954599966313</v>
      </c>
      <c r="C902" s="243">
        <v>371.23199822518905</v>
      </c>
      <c r="D902" s="243">
        <v>368.63182385326758</v>
      </c>
      <c r="E902" s="243">
        <v>371.15909613999497</v>
      </c>
      <c r="F902" s="243">
        <v>3106153.9515258279</v>
      </c>
      <c r="G902" s="243" t="s">
        <v>932</v>
      </c>
      <c r="H902" s="151">
        <f t="shared" si="29"/>
        <v>-3.4045673580556102E-3</v>
      </c>
      <c r="J902" s="147">
        <v>271.54000000000002</v>
      </c>
      <c r="K902" s="147">
        <v>273.45</v>
      </c>
      <c r="L902" s="147">
        <v>266.55</v>
      </c>
      <c r="M902" s="147">
        <v>273.45</v>
      </c>
      <c r="N902" s="147">
        <v>471664</v>
      </c>
      <c r="O902" s="147" t="s">
        <v>932</v>
      </c>
      <c r="P902" s="151">
        <f t="shared" si="30"/>
        <v>-6.9848235509232248E-3</v>
      </c>
    </row>
    <row r="903" spans="2:16" ht="14.25" customHeight="1">
      <c r="B903" s="243">
        <v>369.64273276795853</v>
      </c>
      <c r="C903" s="243">
        <v>369.681613880062</v>
      </c>
      <c r="D903" s="243">
        <v>367.11546048123114</v>
      </c>
      <c r="E903" s="243">
        <v>368.24301273223256</v>
      </c>
      <c r="F903" s="243">
        <v>2799306.7613466522</v>
      </c>
      <c r="G903" s="243" t="s">
        <v>933</v>
      </c>
      <c r="H903" s="151">
        <f t="shared" si="29"/>
        <v>3.8010769718088699E-3</v>
      </c>
      <c r="J903" s="147">
        <v>271.94</v>
      </c>
      <c r="K903" s="147">
        <v>280</v>
      </c>
      <c r="L903" s="147">
        <v>270.60000000000002</v>
      </c>
      <c r="M903" s="147">
        <v>278.06</v>
      </c>
      <c r="N903" s="147">
        <v>286297</v>
      </c>
      <c r="O903" s="147" t="s">
        <v>933</v>
      </c>
      <c r="P903" s="151">
        <f t="shared" si="30"/>
        <v>-2.2009638207581061E-2</v>
      </c>
    </row>
    <row r="904" spans="2:16" ht="14.25" customHeight="1">
      <c r="B904" s="243">
        <v>368.3888169026207</v>
      </c>
      <c r="C904" s="243">
        <v>370.66336196067533</v>
      </c>
      <c r="D904" s="243">
        <v>366.18231379074723</v>
      </c>
      <c r="E904" s="243">
        <v>368.66098468734521</v>
      </c>
      <c r="F904" s="243">
        <v>3067456.4987370577</v>
      </c>
      <c r="G904" s="243" t="s">
        <v>934</v>
      </c>
      <c r="H904" s="151">
        <f t="shared" si="29"/>
        <v>-7.3826034223645198E-4</v>
      </c>
      <c r="J904" s="147">
        <v>277.62</v>
      </c>
      <c r="K904" s="147">
        <v>279.99</v>
      </c>
      <c r="L904" s="147">
        <v>275.43</v>
      </c>
      <c r="M904" s="147">
        <v>275.43</v>
      </c>
      <c r="N904" s="147">
        <v>279011</v>
      </c>
      <c r="O904" s="147" t="s">
        <v>934</v>
      </c>
      <c r="P904" s="151">
        <f t="shared" si="30"/>
        <v>7.9512035725954888E-3</v>
      </c>
    </row>
    <row r="905" spans="2:16" ht="14.25" customHeight="1">
      <c r="B905" s="243">
        <v>369.14699858863889</v>
      </c>
      <c r="C905" s="243">
        <v>369.53580970967391</v>
      </c>
      <c r="D905" s="243">
        <v>364.94278393688762</v>
      </c>
      <c r="E905" s="243">
        <v>365.39497127065135</v>
      </c>
      <c r="F905" s="243">
        <v>2758017.8188975095</v>
      </c>
      <c r="G905" s="243" t="s">
        <v>935</v>
      </c>
      <c r="H905" s="151">
        <f t="shared" si="29"/>
        <v>1.0268415312175705E-2</v>
      </c>
      <c r="J905" s="147">
        <v>276.97000000000003</v>
      </c>
      <c r="K905" s="147">
        <v>280.97000000000003</v>
      </c>
      <c r="L905" s="147">
        <v>276.19</v>
      </c>
      <c r="M905" s="147">
        <v>280.06</v>
      </c>
      <c r="N905" s="147">
        <v>424781</v>
      </c>
      <c r="O905" s="147" t="s">
        <v>935</v>
      </c>
      <c r="P905" s="151">
        <f t="shared" si="30"/>
        <v>-1.1033349996429243E-2</v>
      </c>
    </row>
    <row r="906" spans="2:16" ht="14.25" customHeight="1">
      <c r="B906" s="243">
        <v>364.42294346806392</v>
      </c>
      <c r="C906" s="243">
        <v>368.02916661566337</v>
      </c>
      <c r="D906" s="243">
        <v>363.84944706453729</v>
      </c>
      <c r="E906" s="243">
        <v>367.81532049909407</v>
      </c>
      <c r="F906" s="243">
        <v>3728466.3981346516</v>
      </c>
      <c r="G906" s="243" t="s">
        <v>936</v>
      </c>
      <c r="H906" s="151">
        <f t="shared" ref="H906:H969" si="31">B906/E906-1</f>
        <v>-9.2230443974627985E-3</v>
      </c>
      <c r="J906" s="147">
        <v>277.27999999999997</v>
      </c>
      <c r="K906" s="147">
        <v>287.58999999999997</v>
      </c>
      <c r="L906" s="147">
        <v>276.74</v>
      </c>
      <c r="M906" s="147">
        <v>287.58999999999997</v>
      </c>
      <c r="N906" s="147">
        <v>204605</v>
      </c>
      <c r="O906" s="147" t="s">
        <v>936</v>
      </c>
      <c r="P906" s="151">
        <f t="shared" ref="P906:P969" si="32">J906/M906-1</f>
        <v>-3.5849647067005108E-2</v>
      </c>
    </row>
    <row r="907" spans="2:16" ht="14.25" customHeight="1">
      <c r="B907" s="243">
        <v>365.8809851719451</v>
      </c>
      <c r="C907" s="243">
        <v>367.19322270543813</v>
      </c>
      <c r="D907" s="243">
        <v>365.18112515408211</v>
      </c>
      <c r="E907" s="243">
        <v>366.35727879521289</v>
      </c>
      <c r="F907" s="243">
        <v>3157318.1259122137</v>
      </c>
      <c r="G907" s="243" t="s">
        <v>937</v>
      </c>
      <c r="H907" s="151">
        <f t="shared" si="31"/>
        <v>-1.3000795967098577E-3</v>
      </c>
      <c r="J907" s="147">
        <v>286.64999999999998</v>
      </c>
      <c r="K907" s="147">
        <v>286.68</v>
      </c>
      <c r="L907" s="147">
        <v>279.3</v>
      </c>
      <c r="M907" s="147">
        <v>280.20999999999998</v>
      </c>
      <c r="N907" s="147">
        <v>300711</v>
      </c>
      <c r="O907" s="147" t="s">
        <v>937</v>
      </c>
      <c r="P907" s="151">
        <f t="shared" si="32"/>
        <v>2.2982762927804101E-2</v>
      </c>
    </row>
    <row r="908" spans="2:16" ht="14.25" customHeight="1">
      <c r="B908" s="243">
        <v>365.83238378181574</v>
      </c>
      <c r="C908" s="243">
        <v>365.86154461589331</v>
      </c>
      <c r="D908" s="243">
        <v>362.5274892530183</v>
      </c>
      <c r="E908" s="243">
        <v>363.10098565654494</v>
      </c>
      <c r="F908" s="243">
        <v>2747984.155277973</v>
      </c>
      <c r="G908" s="243" t="s">
        <v>938</v>
      </c>
      <c r="H908" s="151">
        <f t="shared" si="31"/>
        <v>7.5224200240933126E-3</v>
      </c>
      <c r="J908" s="147">
        <v>278.82</v>
      </c>
      <c r="K908" s="147">
        <v>280.13499999999999</v>
      </c>
      <c r="L908" s="147">
        <v>271.25</v>
      </c>
      <c r="M908" s="147">
        <v>272.81</v>
      </c>
      <c r="N908" s="147">
        <v>259177</v>
      </c>
      <c r="O908" s="147" t="s">
        <v>938</v>
      </c>
      <c r="P908" s="151">
        <f t="shared" si="32"/>
        <v>2.202998423811442E-2</v>
      </c>
    </row>
    <row r="909" spans="2:16" ht="14.25" customHeight="1">
      <c r="B909" s="243">
        <v>365.43385238275482</v>
      </c>
      <c r="C909" s="243">
        <v>365.66227891636288</v>
      </c>
      <c r="D909" s="243">
        <v>362.29420258039738</v>
      </c>
      <c r="E909" s="243">
        <v>363.21762899285545</v>
      </c>
      <c r="F909" s="243">
        <v>3164747.9545454849</v>
      </c>
      <c r="G909" s="243" t="s">
        <v>939</v>
      </c>
      <c r="H909" s="151">
        <f t="shared" si="31"/>
        <v>6.1016404849196793E-3</v>
      </c>
      <c r="J909" s="147">
        <v>274.16000000000003</v>
      </c>
      <c r="K909" s="147">
        <v>281.91000000000003</v>
      </c>
      <c r="L909" s="147">
        <v>272.35000000000002</v>
      </c>
      <c r="M909" s="147">
        <v>281.8</v>
      </c>
      <c r="N909" s="147">
        <v>269197</v>
      </c>
      <c r="O909" s="147" t="s">
        <v>939</v>
      </c>
      <c r="P909" s="151">
        <f t="shared" si="32"/>
        <v>-2.7111426543647954E-2</v>
      </c>
    </row>
    <row r="910" spans="2:16" ht="14.25" customHeight="1">
      <c r="B910" s="243">
        <v>364.04385262505474</v>
      </c>
      <c r="C910" s="243">
        <v>364.9186776473835</v>
      </c>
      <c r="D910" s="243">
        <v>362.45944730683721</v>
      </c>
      <c r="E910" s="243">
        <v>364.22853790754635</v>
      </c>
      <c r="F910" s="243">
        <v>3320620.0392705179</v>
      </c>
      <c r="G910" s="243" t="s">
        <v>940</v>
      </c>
      <c r="H910" s="151">
        <f t="shared" si="31"/>
        <v>-5.0705879213253091E-4</v>
      </c>
      <c r="J910" s="147">
        <v>282.57</v>
      </c>
      <c r="K910" s="147">
        <v>283.64</v>
      </c>
      <c r="L910" s="147">
        <v>279.64</v>
      </c>
      <c r="M910" s="147">
        <v>280.89</v>
      </c>
      <c r="N910" s="147">
        <v>241501</v>
      </c>
      <c r="O910" s="147" t="s">
        <v>940</v>
      </c>
      <c r="P910" s="151">
        <f t="shared" si="32"/>
        <v>5.9809889992523679E-3</v>
      </c>
    </row>
    <row r="911" spans="2:16" ht="14.25" customHeight="1">
      <c r="B911" s="243">
        <v>364.9283979254094</v>
      </c>
      <c r="C911" s="243">
        <v>367.81532049909407</v>
      </c>
      <c r="D911" s="243">
        <v>363.66476178204567</v>
      </c>
      <c r="E911" s="243">
        <v>367.61119466055072</v>
      </c>
      <c r="F911" s="243">
        <v>2791358.4290258749</v>
      </c>
      <c r="G911" s="243" t="s">
        <v>941</v>
      </c>
      <c r="H911" s="151">
        <f t="shared" si="31"/>
        <v>-7.2979190354053314E-3</v>
      </c>
      <c r="J911" s="147">
        <v>280.82</v>
      </c>
      <c r="K911" s="147">
        <v>285.99</v>
      </c>
      <c r="L911" s="147">
        <v>280.45499999999998</v>
      </c>
      <c r="M911" s="147">
        <v>281.73</v>
      </c>
      <c r="N911" s="147">
        <v>251183</v>
      </c>
      <c r="O911" s="147" t="s">
        <v>941</v>
      </c>
      <c r="P911" s="151">
        <f t="shared" si="32"/>
        <v>-3.2300429489228177E-3</v>
      </c>
    </row>
    <row r="912" spans="2:16" ht="14.25" customHeight="1">
      <c r="B912" s="243">
        <v>366.99881714492068</v>
      </c>
      <c r="C912" s="243">
        <v>367.33902687582628</v>
      </c>
      <c r="D912" s="243">
        <v>364.72427208686605</v>
      </c>
      <c r="E912" s="243">
        <v>365.09364265184928</v>
      </c>
      <c r="F912" s="243">
        <v>3626743.9991077953</v>
      </c>
      <c r="G912" s="243" t="s">
        <v>942</v>
      </c>
      <c r="H912" s="151">
        <f t="shared" si="31"/>
        <v>5.2183173588924436E-3</v>
      </c>
      <c r="J912" s="147">
        <v>281.73</v>
      </c>
      <c r="K912" s="147">
        <v>281.91000000000003</v>
      </c>
      <c r="L912" s="147">
        <v>273.63</v>
      </c>
      <c r="M912" s="147">
        <v>276.37</v>
      </c>
      <c r="N912" s="147">
        <v>305692</v>
      </c>
      <c r="O912" s="147" t="s">
        <v>942</v>
      </c>
      <c r="P912" s="151">
        <f t="shared" si="32"/>
        <v>1.9394290263053282E-2</v>
      </c>
    </row>
    <row r="913" spans="2:16" ht="14.25" customHeight="1">
      <c r="B913" s="243">
        <v>365.55049571906534</v>
      </c>
      <c r="C913" s="243">
        <v>365.81294322576395</v>
      </c>
      <c r="D913" s="243">
        <v>361.25413283162874</v>
      </c>
      <c r="E913" s="243">
        <v>361.38049644596509</v>
      </c>
      <c r="F913" s="243">
        <v>4279552.4870038051</v>
      </c>
      <c r="G913" s="243" t="s">
        <v>943</v>
      </c>
      <c r="H913" s="151">
        <f t="shared" si="31"/>
        <v>1.1539082252945532E-2</v>
      </c>
      <c r="J913" s="147">
        <v>278.69</v>
      </c>
      <c r="K913" s="147">
        <v>282.68</v>
      </c>
      <c r="L913" s="147">
        <v>278.39999999999998</v>
      </c>
      <c r="M913" s="147">
        <v>278.68</v>
      </c>
      <c r="N913" s="147">
        <v>369110</v>
      </c>
      <c r="O913" s="147" t="s">
        <v>943</v>
      </c>
      <c r="P913" s="151">
        <f t="shared" si="32"/>
        <v>3.588345055249853E-5</v>
      </c>
    </row>
    <row r="914" spans="2:16" ht="14.25" customHeight="1">
      <c r="B914" s="243">
        <v>360.51539170166228</v>
      </c>
      <c r="C914" s="243">
        <v>361.08888810518891</v>
      </c>
      <c r="D914" s="243">
        <v>358.77740599063588</v>
      </c>
      <c r="E914" s="243">
        <v>360.84588115454204</v>
      </c>
      <c r="F914" s="243">
        <v>3412188.4077503812</v>
      </c>
      <c r="G914" s="243" t="s">
        <v>944</v>
      </c>
      <c r="H914" s="151">
        <f t="shared" si="31"/>
        <v>-9.1587425585226701E-4</v>
      </c>
      <c r="J914" s="147">
        <v>277.08999999999997</v>
      </c>
      <c r="K914" s="147">
        <v>278.10000000000002</v>
      </c>
      <c r="L914" s="147">
        <v>273.17</v>
      </c>
      <c r="M914" s="147">
        <v>277.95</v>
      </c>
      <c r="N914" s="147">
        <v>238804</v>
      </c>
      <c r="O914" s="147" t="s">
        <v>944</v>
      </c>
      <c r="P914" s="151">
        <f t="shared" si="32"/>
        <v>-3.0940816693650897E-3</v>
      </c>
    </row>
    <row r="915" spans="2:16" ht="14.25" customHeight="1">
      <c r="B915" s="243">
        <v>358.3769305359699</v>
      </c>
      <c r="C915" s="243">
        <v>358.61993748661678</v>
      </c>
      <c r="D915" s="243">
        <v>356.04406380976002</v>
      </c>
      <c r="E915" s="243">
        <v>357.12301467063207</v>
      </c>
      <c r="F915" s="243">
        <v>3740704.7312032469</v>
      </c>
      <c r="G915" s="243" t="s">
        <v>945</v>
      </c>
      <c r="H915" s="151">
        <f t="shared" si="31"/>
        <v>3.5111594991834583E-3</v>
      </c>
      <c r="J915" s="147">
        <v>274.79000000000002</v>
      </c>
      <c r="K915" s="147">
        <v>279.55500000000001</v>
      </c>
      <c r="L915" s="147">
        <v>271</v>
      </c>
      <c r="M915" s="147">
        <v>271</v>
      </c>
      <c r="N915" s="147">
        <v>307749</v>
      </c>
      <c r="O915" s="147" t="s">
        <v>945</v>
      </c>
      <c r="P915" s="151">
        <f t="shared" si="32"/>
        <v>1.3985239852398523E-2</v>
      </c>
    </row>
    <row r="916" spans="2:16" ht="14.25" customHeight="1">
      <c r="B916" s="243">
        <v>353.35154679659274</v>
      </c>
      <c r="C916" s="243">
        <v>354.01252570235221</v>
      </c>
      <c r="D916" s="243">
        <v>351.56495969543698</v>
      </c>
      <c r="E916" s="243">
        <v>353.37098735264453</v>
      </c>
      <c r="F916" s="243">
        <v>2483111.0731350011</v>
      </c>
      <c r="G916" s="243" t="s">
        <v>946</v>
      </c>
      <c r="H916" s="151">
        <f t="shared" si="31"/>
        <v>-5.5014578863477048E-5</v>
      </c>
      <c r="J916" s="147">
        <v>275.54000000000002</v>
      </c>
      <c r="K916" s="147">
        <v>280.45999999999998</v>
      </c>
      <c r="L916" s="147">
        <v>275.10000000000002</v>
      </c>
      <c r="M916" s="147">
        <v>278.27</v>
      </c>
      <c r="N916" s="147">
        <v>290883</v>
      </c>
      <c r="O916" s="147" t="s">
        <v>946</v>
      </c>
      <c r="P916" s="151">
        <f t="shared" si="32"/>
        <v>-9.8106155891758418E-3</v>
      </c>
    </row>
    <row r="917" spans="2:16" ht="14.25" customHeight="1">
      <c r="B917" s="243">
        <v>353.97364459024874</v>
      </c>
      <c r="C917" s="243">
        <v>356.18014770212227</v>
      </c>
      <c r="D917" s="243">
        <v>353.23490346028223</v>
      </c>
      <c r="E917" s="243">
        <v>355.4948681012981</v>
      </c>
      <c r="F917" s="243">
        <v>4264070.4195568245</v>
      </c>
      <c r="G917" s="243" t="s">
        <v>947</v>
      </c>
      <c r="H917" s="151">
        <f t="shared" si="31"/>
        <v>-4.279171508647206E-3</v>
      </c>
      <c r="J917" s="147">
        <v>277.16000000000003</v>
      </c>
      <c r="K917" s="147">
        <v>278.45</v>
      </c>
      <c r="L917" s="147">
        <v>274.02999999999997</v>
      </c>
      <c r="M917" s="147">
        <v>276.95999999999998</v>
      </c>
      <c r="N917" s="147">
        <v>212534</v>
      </c>
      <c r="O917" s="147" t="s">
        <v>947</v>
      </c>
      <c r="P917" s="151">
        <f t="shared" si="32"/>
        <v>7.2212593876397335E-4</v>
      </c>
    </row>
    <row r="918" spans="2:16" ht="14.25" customHeight="1">
      <c r="B918" s="243">
        <v>353.39042790869627</v>
      </c>
      <c r="C918" s="243">
        <v>353.45846985487736</v>
      </c>
      <c r="D918" s="243">
        <v>347.71378554158554</v>
      </c>
      <c r="E918" s="243">
        <v>349.91056837543317</v>
      </c>
      <c r="F918" s="243">
        <v>3848594.6492908155</v>
      </c>
      <c r="G918" s="243" t="s">
        <v>948</v>
      </c>
      <c r="H918" s="151">
        <f t="shared" si="31"/>
        <v>9.9449969442746422E-3</v>
      </c>
      <c r="J918" s="147">
        <v>274.67</v>
      </c>
      <c r="K918" s="147">
        <v>278.33999999999997</v>
      </c>
      <c r="L918" s="147">
        <v>272.61</v>
      </c>
      <c r="M918" s="147">
        <v>277.58999999999997</v>
      </c>
      <c r="N918" s="147">
        <v>307102</v>
      </c>
      <c r="O918" s="147" t="s">
        <v>948</v>
      </c>
      <c r="P918" s="151">
        <f t="shared" si="32"/>
        <v>-1.0519110918981056E-2</v>
      </c>
    </row>
    <row r="919" spans="2:16" ht="14.25" customHeight="1">
      <c r="B919" s="243">
        <v>351.0503681767471</v>
      </c>
      <c r="C919" s="243">
        <v>356.51592735037912</v>
      </c>
      <c r="D919" s="243">
        <v>348.61090499616745</v>
      </c>
      <c r="E919" s="243">
        <v>352.83156351494813</v>
      </c>
      <c r="F919" s="243">
        <v>4945238.139291577</v>
      </c>
      <c r="G919" s="243" t="s">
        <v>949</v>
      </c>
      <c r="H919" s="151">
        <f t="shared" si="31"/>
        <v>-5.0482879719052631E-3</v>
      </c>
      <c r="J919" s="147">
        <v>277.82</v>
      </c>
      <c r="K919" s="147">
        <v>283.42</v>
      </c>
      <c r="L919" s="147">
        <v>273.76</v>
      </c>
      <c r="M919" s="147">
        <v>276.41000000000003</v>
      </c>
      <c r="N919" s="147">
        <v>467000</v>
      </c>
      <c r="O919" s="147" t="s">
        <v>949</v>
      </c>
      <c r="P919" s="151">
        <f t="shared" si="32"/>
        <v>5.1011179045619137E-3</v>
      </c>
    </row>
    <row r="920" spans="2:16" ht="14.25" customHeight="1">
      <c r="B920" s="243">
        <v>350.21785296432705</v>
      </c>
      <c r="C920" s="243">
        <v>359.3551914411093</v>
      </c>
      <c r="D920" s="243">
        <v>350.10168805096617</v>
      </c>
      <c r="E920" s="243">
        <v>356.02609863237382</v>
      </c>
      <c r="F920" s="243">
        <v>4230027.6889393684</v>
      </c>
      <c r="G920" s="243" t="s">
        <v>950</v>
      </c>
      <c r="H920" s="151">
        <f t="shared" si="31"/>
        <v>-1.631410082114304E-2</v>
      </c>
      <c r="J920" s="147">
        <v>273.61</v>
      </c>
      <c r="K920" s="147">
        <v>278.19</v>
      </c>
      <c r="L920" s="147">
        <v>267.77</v>
      </c>
      <c r="M920" s="147">
        <v>269.8</v>
      </c>
      <c r="N920" s="147">
        <v>515816</v>
      </c>
      <c r="O920" s="147" t="s">
        <v>950</v>
      </c>
      <c r="P920" s="151">
        <f t="shared" si="32"/>
        <v>1.4121571534470023E-2</v>
      </c>
    </row>
    <row r="921" spans="2:16" ht="14.25" customHeight="1">
      <c r="B921" s="243">
        <v>356.12290272684129</v>
      </c>
      <c r="C921" s="243">
        <v>356.63596442751879</v>
      </c>
      <c r="D921" s="243">
        <v>353.21877989281791</v>
      </c>
      <c r="E921" s="243">
        <v>354.70956294761658</v>
      </c>
      <c r="F921" s="243">
        <v>4253569.048553722</v>
      </c>
      <c r="G921" s="243" t="s">
        <v>951</v>
      </c>
      <c r="H921" s="151">
        <f t="shared" si="31"/>
        <v>3.9844986627366463E-3</v>
      </c>
      <c r="J921" s="147">
        <v>270.07</v>
      </c>
      <c r="K921" s="147">
        <v>270.7</v>
      </c>
      <c r="L921" s="147">
        <v>264.8</v>
      </c>
      <c r="M921" s="147">
        <v>267.20999999999998</v>
      </c>
      <c r="N921" s="147">
        <v>281210</v>
      </c>
      <c r="O921" s="147" t="s">
        <v>951</v>
      </c>
      <c r="P921" s="151">
        <f t="shared" si="32"/>
        <v>1.0703192245799187E-2</v>
      </c>
    </row>
    <row r="922" spans="2:16" ht="14.25" customHeight="1">
      <c r="B922" s="243">
        <v>351.52470823963756</v>
      </c>
      <c r="C922" s="243">
        <v>351.9603266647411</v>
      </c>
      <c r="D922" s="243">
        <v>348.32049271276509</v>
      </c>
      <c r="E922" s="243">
        <v>348.94971932680352</v>
      </c>
      <c r="F922" s="243">
        <v>3202088.7309083808</v>
      </c>
      <c r="G922" s="243" t="s">
        <v>952</v>
      </c>
      <c r="H922" s="151">
        <f t="shared" si="31"/>
        <v>7.3792548617082065E-3</v>
      </c>
      <c r="J922" s="147">
        <v>266.17</v>
      </c>
      <c r="K922" s="147">
        <v>267.25</v>
      </c>
      <c r="L922" s="147">
        <v>260.45999999999998</v>
      </c>
      <c r="M922" s="147">
        <v>262.37</v>
      </c>
      <c r="N922" s="147">
        <v>231273</v>
      </c>
      <c r="O922" s="147" t="s">
        <v>952</v>
      </c>
      <c r="P922" s="151">
        <f t="shared" si="32"/>
        <v>1.4483363189389031E-2</v>
      </c>
    </row>
    <row r="923" spans="2:16" ht="14.25" customHeight="1">
      <c r="B923" s="243">
        <v>348.37857516944558</v>
      </c>
      <c r="C923" s="243">
        <v>352.16361526312278</v>
      </c>
      <c r="D923" s="243">
        <v>346.96533219431535</v>
      </c>
      <c r="E923" s="243">
        <v>351.16653309010803</v>
      </c>
      <c r="F923" s="243">
        <v>5361247.4023454525</v>
      </c>
      <c r="G923" s="243" t="s">
        <v>953</v>
      </c>
      <c r="H923" s="151">
        <f t="shared" si="31"/>
        <v>-7.9391333112801554E-3</v>
      </c>
      <c r="J923" s="147">
        <v>263</v>
      </c>
      <c r="K923" s="147">
        <v>266.56</v>
      </c>
      <c r="L923" s="147">
        <v>262.18</v>
      </c>
      <c r="M923" s="147">
        <v>265.83</v>
      </c>
      <c r="N923" s="147">
        <v>399450</v>
      </c>
      <c r="O923" s="147" t="s">
        <v>953</v>
      </c>
      <c r="P923" s="151">
        <f t="shared" si="32"/>
        <v>-1.0645901516006417E-2</v>
      </c>
    </row>
    <row r="924" spans="2:16" ht="14.25" customHeight="1">
      <c r="B924" s="243">
        <v>352.23137812924995</v>
      </c>
      <c r="C924" s="243">
        <v>352.61859450711972</v>
      </c>
      <c r="D924" s="243">
        <v>343.64485494998746</v>
      </c>
      <c r="E924" s="243">
        <v>344.17727746955842</v>
      </c>
      <c r="F924" s="243">
        <v>5216558.2745037554</v>
      </c>
      <c r="G924" s="243" t="s">
        <v>954</v>
      </c>
      <c r="H924" s="151">
        <f t="shared" si="31"/>
        <v>2.3401023794791032E-2</v>
      </c>
      <c r="J924" s="147">
        <v>267.95999999999998</v>
      </c>
      <c r="K924" s="147">
        <v>267.98</v>
      </c>
      <c r="L924" s="147">
        <v>252.51</v>
      </c>
      <c r="M924" s="147">
        <v>254.78</v>
      </c>
      <c r="N924" s="147">
        <v>378913</v>
      </c>
      <c r="O924" s="147" t="s">
        <v>954</v>
      </c>
      <c r="P924" s="151">
        <f t="shared" si="32"/>
        <v>5.1730905094591328E-2</v>
      </c>
    </row>
    <row r="925" spans="2:16" ht="14.25" customHeight="1">
      <c r="B925" s="243">
        <v>346.30696754784225</v>
      </c>
      <c r="C925" s="243">
        <v>346.44249328009664</v>
      </c>
      <c r="D925" s="243">
        <v>341.29735565915189</v>
      </c>
      <c r="E925" s="243">
        <v>343.13179324930996</v>
      </c>
      <c r="F925" s="243">
        <v>6828629.549572384</v>
      </c>
      <c r="G925" s="243" t="s">
        <v>955</v>
      </c>
      <c r="H925" s="151">
        <f t="shared" si="31"/>
        <v>9.2535123850365775E-3</v>
      </c>
      <c r="J925" s="147">
        <v>257</v>
      </c>
      <c r="K925" s="147">
        <v>258.26</v>
      </c>
      <c r="L925" s="147">
        <v>251.98500000000001</v>
      </c>
      <c r="M925" s="147">
        <v>254.98</v>
      </c>
      <c r="N925" s="147">
        <v>287708</v>
      </c>
      <c r="O925" s="147" t="s">
        <v>955</v>
      </c>
      <c r="P925" s="151">
        <f t="shared" si="32"/>
        <v>7.9221899756845016E-3</v>
      </c>
    </row>
    <row r="926" spans="2:16" ht="14.25" customHeight="1">
      <c r="B926" s="243">
        <v>348.45601844501954</v>
      </c>
      <c r="C926" s="243">
        <v>349.95648190926494</v>
      </c>
      <c r="D926" s="243">
        <v>344.2644011545791</v>
      </c>
      <c r="E926" s="243">
        <v>347.41053422477114</v>
      </c>
      <c r="F926" s="243">
        <v>4957239.6977627501</v>
      </c>
      <c r="G926" s="243" t="s">
        <v>956</v>
      </c>
      <c r="H926" s="151">
        <f t="shared" si="31"/>
        <v>3.0093624609897063E-3</v>
      </c>
      <c r="J926" s="147">
        <v>259.36</v>
      </c>
      <c r="K926" s="147">
        <v>259.55</v>
      </c>
      <c r="L926" s="147">
        <v>253.09</v>
      </c>
      <c r="M926" s="147">
        <v>256.69</v>
      </c>
      <c r="N926" s="147">
        <v>311614</v>
      </c>
      <c r="O926" s="147" t="s">
        <v>956</v>
      </c>
      <c r="P926" s="151">
        <f t="shared" si="32"/>
        <v>1.0401651797888656E-2</v>
      </c>
    </row>
    <row r="927" spans="2:16" ht="14.25" customHeight="1">
      <c r="B927" s="243">
        <v>342.76393769033371</v>
      </c>
      <c r="C927" s="243">
        <v>347.20724562638952</v>
      </c>
      <c r="D927" s="243">
        <v>338.58200080934</v>
      </c>
      <c r="E927" s="243">
        <v>339.5500417540145</v>
      </c>
      <c r="F927" s="243">
        <v>6692581.585150498</v>
      </c>
      <c r="G927" s="243" t="s">
        <v>957</v>
      </c>
      <c r="H927" s="151">
        <f t="shared" si="31"/>
        <v>9.4651613638954135E-3</v>
      </c>
      <c r="J927" s="147">
        <v>252.08</v>
      </c>
      <c r="K927" s="147">
        <v>256.18</v>
      </c>
      <c r="L927" s="147">
        <v>244.71</v>
      </c>
      <c r="M927" s="147">
        <v>245.3</v>
      </c>
      <c r="N927" s="147">
        <v>327296</v>
      </c>
      <c r="O927" s="147" t="s">
        <v>957</v>
      </c>
      <c r="P927" s="151">
        <f t="shared" si="32"/>
        <v>2.7639624949042041E-2</v>
      </c>
    </row>
    <row r="928" spans="2:16" ht="14.25" customHeight="1">
      <c r="B928" s="243">
        <v>343.34476225713837</v>
      </c>
      <c r="C928" s="243">
        <v>349.69511085420288</v>
      </c>
      <c r="D928" s="243">
        <v>341.8539792023397</v>
      </c>
      <c r="E928" s="243">
        <v>347.84615264987463</v>
      </c>
      <c r="F928" s="243">
        <v>8636413.6207187772</v>
      </c>
      <c r="G928" s="243" t="s">
        <v>958</v>
      </c>
      <c r="H928" s="151">
        <f t="shared" si="31"/>
        <v>-1.2940750841844539E-2</v>
      </c>
      <c r="J928" s="147">
        <v>246.09</v>
      </c>
      <c r="K928" s="147">
        <v>252.48</v>
      </c>
      <c r="L928" s="147">
        <v>245.06</v>
      </c>
      <c r="M928" s="147">
        <v>249.12</v>
      </c>
      <c r="N928" s="147">
        <v>350358</v>
      </c>
      <c r="O928" s="147" t="s">
        <v>958</v>
      </c>
      <c r="P928" s="151">
        <f t="shared" si="32"/>
        <v>-1.2162813102119419E-2</v>
      </c>
    </row>
    <row r="929" spans="2:16" ht="14.25" customHeight="1">
      <c r="B929" s="243">
        <v>348.3398535316586</v>
      </c>
      <c r="C929" s="243">
        <v>357.09094367151573</v>
      </c>
      <c r="D929" s="243">
        <v>347.38149299643089</v>
      </c>
      <c r="E929" s="243">
        <v>355.60984102616385</v>
      </c>
      <c r="F929" s="243">
        <v>4555209.1822757469</v>
      </c>
      <c r="G929" s="243" t="s">
        <v>959</v>
      </c>
      <c r="H929" s="151">
        <f t="shared" si="31"/>
        <v>-2.0443718524567944E-2</v>
      </c>
      <c r="J929" s="147">
        <v>249.68</v>
      </c>
      <c r="K929" s="147">
        <v>254.79</v>
      </c>
      <c r="L929" s="147">
        <v>249.32</v>
      </c>
      <c r="M929" s="147">
        <v>253.15</v>
      </c>
      <c r="N929" s="147">
        <v>330604</v>
      </c>
      <c r="O929" s="147" t="s">
        <v>959</v>
      </c>
      <c r="P929" s="151">
        <f t="shared" si="32"/>
        <v>-1.3707288169069742E-2</v>
      </c>
    </row>
    <row r="930" spans="2:16" ht="14.25" customHeight="1">
      <c r="B930" s="243">
        <v>354.83540827042424</v>
      </c>
      <c r="C930" s="243">
        <v>355.56018052570204</v>
      </c>
      <c r="D930" s="243">
        <v>352.79284187716115</v>
      </c>
      <c r="E930" s="243">
        <v>354.40947025476748</v>
      </c>
      <c r="F930" s="243">
        <v>3002205.6566804931</v>
      </c>
      <c r="G930" s="243" t="s">
        <v>960</v>
      </c>
      <c r="H930" s="151">
        <f t="shared" si="31"/>
        <v>1.201824588238587E-3</v>
      </c>
      <c r="J930" s="147">
        <v>251.47</v>
      </c>
      <c r="K930" s="147">
        <v>254.99</v>
      </c>
      <c r="L930" s="147">
        <v>249.75</v>
      </c>
      <c r="M930" s="147">
        <v>254.99</v>
      </c>
      <c r="N930" s="147">
        <v>347595</v>
      </c>
      <c r="O930" s="147" t="s">
        <v>960</v>
      </c>
      <c r="P930" s="151">
        <f t="shared" si="32"/>
        <v>-1.3804462920114502E-2</v>
      </c>
    </row>
    <row r="931" spans="2:16" ht="14.25" customHeight="1">
      <c r="B931" s="243">
        <v>354.28362493195982</v>
      </c>
      <c r="C931" s="243">
        <v>360.00474691498584</v>
      </c>
      <c r="D931" s="243">
        <v>353.70764056987849</v>
      </c>
      <c r="E931" s="243">
        <v>359.75305626937052</v>
      </c>
      <c r="F931" s="243">
        <v>3663213.85423683</v>
      </c>
      <c r="G931" s="243" t="s">
        <v>961</v>
      </c>
      <c r="H931" s="151">
        <f t="shared" si="31"/>
        <v>-1.5203293598471501E-2</v>
      </c>
      <c r="J931" s="147">
        <v>254.61</v>
      </c>
      <c r="K931" s="147">
        <v>257.82</v>
      </c>
      <c r="L931" s="147">
        <v>252.47</v>
      </c>
      <c r="M931" s="147">
        <v>254.64</v>
      </c>
      <c r="N931" s="147">
        <v>248552</v>
      </c>
      <c r="O931" s="147" t="s">
        <v>961</v>
      </c>
      <c r="P931" s="151">
        <f t="shared" si="32"/>
        <v>-1.1781338360028482E-4</v>
      </c>
    </row>
    <row r="932" spans="2:16" ht="14.25" customHeight="1">
      <c r="B932" s="243">
        <v>359.84986036383799</v>
      </c>
      <c r="C932" s="243">
        <v>362.47325132390574</v>
      </c>
      <c r="D932" s="243">
        <v>359.43360275762797</v>
      </c>
      <c r="E932" s="243">
        <v>360.36292206451543</v>
      </c>
      <c r="F932" s="243">
        <v>2725427.0746649345</v>
      </c>
      <c r="G932" s="243" t="s">
        <v>962</v>
      </c>
      <c r="H932" s="151">
        <f t="shared" si="31"/>
        <v>-1.4237360984257208E-3</v>
      </c>
      <c r="J932" s="147">
        <v>254.7</v>
      </c>
      <c r="K932" s="147">
        <v>260.3</v>
      </c>
      <c r="L932" s="147">
        <v>254.68</v>
      </c>
      <c r="M932" s="147">
        <v>259.48</v>
      </c>
      <c r="N932" s="147">
        <v>358088</v>
      </c>
      <c r="O932" s="147" t="s">
        <v>962</v>
      </c>
      <c r="P932" s="151">
        <f t="shared" si="32"/>
        <v>-1.8421458301217886E-2</v>
      </c>
    </row>
    <row r="933" spans="2:16" ht="14.25" customHeight="1">
      <c r="B933" s="243">
        <v>359.41424193873445</v>
      </c>
      <c r="C933" s="243">
        <v>359.7917779071575</v>
      </c>
      <c r="D933" s="243">
        <v>354.98061441212542</v>
      </c>
      <c r="E933" s="243">
        <v>355.55175856948335</v>
      </c>
      <c r="F933" s="243">
        <v>5075817.3267685166</v>
      </c>
      <c r="G933" s="243" t="s">
        <v>963</v>
      </c>
      <c r="H933" s="151">
        <f t="shared" si="31"/>
        <v>1.0863350485992074E-2</v>
      </c>
      <c r="J933" s="147">
        <v>261.38</v>
      </c>
      <c r="K933" s="147">
        <v>262.63</v>
      </c>
      <c r="L933" s="147">
        <v>260.35000000000002</v>
      </c>
      <c r="M933" s="147">
        <v>262.60000000000002</v>
      </c>
      <c r="N933" s="147">
        <v>292877</v>
      </c>
      <c r="O933" s="147" t="s">
        <v>963</v>
      </c>
      <c r="P933" s="151">
        <f t="shared" si="32"/>
        <v>-4.6458492003047525E-3</v>
      </c>
    </row>
    <row r="934" spans="2:16" ht="14.25" customHeight="1">
      <c r="B934" s="243">
        <v>353.8092848690693</v>
      </c>
      <c r="C934" s="243">
        <v>354.65148049093614</v>
      </c>
      <c r="D934" s="243">
        <v>349.00780178348396</v>
      </c>
      <c r="E934" s="243">
        <v>349.27885324799286</v>
      </c>
      <c r="F934" s="243">
        <v>2820969.5209930725</v>
      </c>
      <c r="G934" s="243" t="s">
        <v>964</v>
      </c>
      <c r="H934" s="151">
        <f t="shared" si="31"/>
        <v>1.297081566475411E-2</v>
      </c>
      <c r="J934" s="147">
        <v>260.89999999999998</v>
      </c>
      <c r="K934" s="147">
        <v>261.26</v>
      </c>
      <c r="L934" s="147">
        <v>253.63</v>
      </c>
      <c r="M934" s="147">
        <v>256.42</v>
      </c>
      <c r="N934" s="147">
        <v>307573</v>
      </c>
      <c r="O934" s="147" t="s">
        <v>964</v>
      </c>
      <c r="P934" s="151">
        <f t="shared" si="32"/>
        <v>1.7471336089228462E-2</v>
      </c>
    </row>
    <row r="935" spans="2:16" ht="14.25" customHeight="1">
      <c r="B935" s="243">
        <v>351.18589390900149</v>
      </c>
      <c r="C935" s="243">
        <v>352.86060474328832</v>
      </c>
      <c r="D935" s="243">
        <v>349.8983994525845</v>
      </c>
      <c r="E935" s="243">
        <v>351.72799683801918</v>
      </c>
      <c r="F935" s="243">
        <v>3889013.1876250538</v>
      </c>
      <c r="G935" s="243" t="s">
        <v>965</v>
      </c>
      <c r="H935" s="151">
        <f t="shared" si="31"/>
        <v>-1.5412561237407862E-3</v>
      </c>
      <c r="J935" s="147">
        <v>258.38</v>
      </c>
      <c r="K935" s="147">
        <v>260.52999999999997</v>
      </c>
      <c r="L935" s="147">
        <v>255.03</v>
      </c>
      <c r="M935" s="147">
        <v>259.48</v>
      </c>
      <c r="N935" s="147">
        <v>328053</v>
      </c>
      <c r="O935" s="147" t="s">
        <v>965</v>
      </c>
      <c r="P935" s="151">
        <f t="shared" si="32"/>
        <v>-4.2392477262217509E-3</v>
      </c>
    </row>
    <row r="936" spans="2:16" ht="14.25" customHeight="1">
      <c r="B936" s="243">
        <v>352.4733883654186</v>
      </c>
      <c r="C936" s="243">
        <v>355.13550096327333</v>
      </c>
      <c r="D936" s="243">
        <v>352.41530590873811</v>
      </c>
      <c r="E936" s="243">
        <v>353.34462521562557</v>
      </c>
      <c r="F936" s="243">
        <v>3121975.3840229558</v>
      </c>
      <c r="G936" s="243" t="s">
        <v>966</v>
      </c>
      <c r="H936" s="151">
        <f t="shared" si="31"/>
        <v>-2.4656858716197716E-3</v>
      </c>
      <c r="J936" s="147">
        <v>259.99</v>
      </c>
      <c r="K936" s="147">
        <v>271</v>
      </c>
      <c r="L936" s="147">
        <v>259.73</v>
      </c>
      <c r="M936" s="147">
        <v>265.07</v>
      </c>
      <c r="N936" s="147">
        <v>436099</v>
      </c>
      <c r="O936" s="147" t="s">
        <v>966</v>
      </c>
      <c r="P936" s="151">
        <f t="shared" si="32"/>
        <v>-1.9164748934243692E-2</v>
      </c>
    </row>
    <row r="937" spans="2:16" ht="14.25" customHeight="1">
      <c r="B937" s="243">
        <v>353.8092848690693</v>
      </c>
      <c r="C937" s="243">
        <v>356.98445916760153</v>
      </c>
      <c r="D937" s="243">
        <v>352.94153296626314</v>
      </c>
      <c r="E937" s="243">
        <v>355.74536675841824</v>
      </c>
      <c r="F937" s="243">
        <v>3409099.602816686</v>
      </c>
      <c r="G937" s="243" t="s">
        <v>967</v>
      </c>
      <c r="H937" s="151">
        <f t="shared" si="31"/>
        <v>-5.4423249612234326E-3</v>
      </c>
      <c r="J937" s="147">
        <v>264.82</v>
      </c>
      <c r="K937" s="147">
        <v>274.70999999999998</v>
      </c>
      <c r="L937" s="147">
        <v>262.89</v>
      </c>
      <c r="M937" s="147">
        <v>270</v>
      </c>
      <c r="N937" s="147">
        <v>427985</v>
      </c>
      <c r="O937" s="147" t="s">
        <v>967</v>
      </c>
      <c r="P937" s="151">
        <f t="shared" si="32"/>
        <v>-1.9185185185185194E-2</v>
      </c>
    </row>
    <row r="938" spans="2:16" ht="14.25" customHeight="1">
      <c r="B938" s="243">
        <v>352.58955327877953</v>
      </c>
      <c r="C938" s="243">
        <v>353.36398603451903</v>
      </c>
      <c r="D938" s="243">
        <v>350.16945091709334</v>
      </c>
      <c r="E938" s="243">
        <v>351.69895560967899</v>
      </c>
      <c r="F938" s="243">
        <v>4188879.6360402266</v>
      </c>
      <c r="G938" s="243" t="s">
        <v>968</v>
      </c>
      <c r="H938" s="151">
        <f t="shared" si="31"/>
        <v>2.5322727147616408E-3</v>
      </c>
      <c r="J938" s="147">
        <v>267.38</v>
      </c>
      <c r="K938" s="147">
        <v>268.60500000000002</v>
      </c>
      <c r="L938" s="147">
        <v>240</v>
      </c>
      <c r="M938" s="147">
        <v>259</v>
      </c>
      <c r="N938" s="147">
        <v>1003496</v>
      </c>
      <c r="O938" s="147" t="s">
        <v>968</v>
      </c>
      <c r="P938" s="151">
        <f t="shared" si="32"/>
        <v>3.2355212355212437E-2</v>
      </c>
    </row>
    <row r="939" spans="2:16" ht="14.25" customHeight="1">
      <c r="B939" s="243">
        <v>356.40363460079692</v>
      </c>
      <c r="C939" s="243">
        <v>357.75889192334114</v>
      </c>
      <c r="D939" s="243">
        <v>352.49274918431206</v>
      </c>
      <c r="E939" s="243">
        <v>357.27487145100389</v>
      </c>
      <c r="F939" s="243">
        <v>2961850.9586536069</v>
      </c>
      <c r="G939" s="243" t="s">
        <v>969</v>
      </c>
      <c r="H939" s="151">
        <f t="shared" si="31"/>
        <v>-2.4385617904461032E-3</v>
      </c>
      <c r="J939" s="147">
        <v>261.72000000000003</v>
      </c>
      <c r="K939" s="147">
        <v>263.77999999999997</v>
      </c>
      <c r="L939" s="147">
        <v>257.29000000000002</v>
      </c>
      <c r="M939" s="147">
        <v>262.64</v>
      </c>
      <c r="N939" s="147">
        <v>447708</v>
      </c>
      <c r="O939" s="147" t="s">
        <v>969</v>
      </c>
      <c r="P939" s="151">
        <f t="shared" si="32"/>
        <v>-3.502893694791176E-3</v>
      </c>
    </row>
    <row r="940" spans="2:16" ht="14.25" customHeight="1">
      <c r="B940" s="243">
        <v>354.62243926259583</v>
      </c>
      <c r="C940" s="243">
        <v>356.81989220700694</v>
      </c>
      <c r="D940" s="243">
        <v>353.18005825503087</v>
      </c>
      <c r="E940" s="243">
        <v>355.44527406556915</v>
      </c>
      <c r="F940" s="243">
        <v>3999834.9463432003</v>
      </c>
      <c r="G940" s="243" t="s">
        <v>970</v>
      </c>
      <c r="H940" s="151">
        <f t="shared" si="31"/>
        <v>-2.3149409009205479E-3</v>
      </c>
      <c r="J940" s="147">
        <v>261.35000000000002</v>
      </c>
      <c r="K940" s="147">
        <v>263.51</v>
      </c>
      <c r="L940" s="147">
        <v>258.31</v>
      </c>
      <c r="M940" s="147">
        <v>258.82</v>
      </c>
      <c r="N940" s="147">
        <v>290956</v>
      </c>
      <c r="O940" s="147" t="s">
        <v>970</v>
      </c>
      <c r="P940" s="151">
        <f t="shared" si="32"/>
        <v>9.7751332972724203E-3</v>
      </c>
    </row>
    <row r="941" spans="2:16" ht="14.25" customHeight="1">
      <c r="B941" s="243">
        <v>355.06773809714616</v>
      </c>
      <c r="C941" s="243">
        <v>359.46748419069155</v>
      </c>
      <c r="D941" s="243">
        <v>354.76764540429707</v>
      </c>
      <c r="E941" s="243">
        <v>358.56236590742088</v>
      </c>
      <c r="F941" s="243">
        <v>3211822.8233058555</v>
      </c>
      <c r="G941" s="243" t="s">
        <v>971</v>
      </c>
      <c r="H941" s="151">
        <f t="shared" si="31"/>
        <v>-9.7462203023755967E-3</v>
      </c>
      <c r="J941" s="147">
        <v>258.18</v>
      </c>
      <c r="K941" s="147">
        <v>264.45999999999998</v>
      </c>
      <c r="L941" s="147">
        <v>254.59</v>
      </c>
      <c r="M941" s="147">
        <v>260.29000000000002</v>
      </c>
      <c r="N941" s="147">
        <v>449072</v>
      </c>
      <c r="O941" s="147" t="s">
        <v>971</v>
      </c>
      <c r="P941" s="151">
        <f t="shared" si="32"/>
        <v>-8.1063429251988506E-3</v>
      </c>
    </row>
    <row r="942" spans="2:16" ht="14.25" customHeight="1">
      <c r="B942" s="243">
        <v>362.26028231607739</v>
      </c>
      <c r="C942" s="243">
        <v>362.48293173335247</v>
      </c>
      <c r="D942" s="243">
        <v>359.45296357652143</v>
      </c>
      <c r="E942" s="243">
        <v>361.25255169267126</v>
      </c>
      <c r="F942" s="243">
        <v>3393789.3000019803</v>
      </c>
      <c r="G942" s="243" t="s">
        <v>972</v>
      </c>
      <c r="H942" s="151">
        <f t="shared" si="31"/>
        <v>2.7895460355487067E-3</v>
      </c>
      <c r="J942" s="147">
        <v>264.69</v>
      </c>
      <c r="K942" s="147">
        <v>266.31</v>
      </c>
      <c r="L942" s="147">
        <v>259.05059999999997</v>
      </c>
      <c r="M942" s="147">
        <v>266.31</v>
      </c>
      <c r="N942" s="147">
        <v>254022</v>
      </c>
      <c r="O942" s="147" t="s">
        <v>972</v>
      </c>
      <c r="P942" s="151">
        <f t="shared" si="32"/>
        <v>-6.0831361946603879E-3</v>
      </c>
    </row>
    <row r="943" spans="2:16" ht="14.25" customHeight="1">
      <c r="B943" s="243">
        <v>363.19928203241159</v>
      </c>
      <c r="C943" s="243">
        <v>367.30377563783134</v>
      </c>
      <c r="D943" s="243">
        <v>363.10247793794412</v>
      </c>
      <c r="E943" s="243">
        <v>363.65426127640865</v>
      </c>
      <c r="F943" s="243">
        <v>3179102.099896112</v>
      </c>
      <c r="G943" s="243" t="s">
        <v>973</v>
      </c>
      <c r="H943" s="151">
        <f t="shared" si="31"/>
        <v>-1.2511313421712522E-3</v>
      </c>
      <c r="J943" s="147">
        <v>267.73</v>
      </c>
      <c r="K943" s="147">
        <v>269.19</v>
      </c>
      <c r="L943" s="147">
        <v>259.13</v>
      </c>
      <c r="M943" s="147">
        <v>259.13</v>
      </c>
      <c r="N943" s="147">
        <v>505521</v>
      </c>
      <c r="O943" s="147" t="s">
        <v>973</v>
      </c>
      <c r="P943" s="151">
        <f t="shared" si="32"/>
        <v>3.3187975147609405E-2</v>
      </c>
    </row>
    <row r="944" spans="2:16" ht="14.25" customHeight="1">
      <c r="B944" s="243">
        <v>368.32021862973954</v>
      </c>
      <c r="C944" s="243">
        <v>368.36862067697319</v>
      </c>
      <c r="D944" s="243">
        <v>364.30284870934048</v>
      </c>
      <c r="E944" s="243">
        <v>365.09664228397355</v>
      </c>
      <c r="F944" s="243">
        <v>2925104.579075662</v>
      </c>
      <c r="G944" s="243" t="s">
        <v>974</v>
      </c>
      <c r="H944" s="151">
        <f t="shared" si="31"/>
        <v>8.8293782314730063E-3</v>
      </c>
      <c r="J944" s="147">
        <v>264.19</v>
      </c>
      <c r="K944" s="147">
        <v>264.23500000000001</v>
      </c>
      <c r="L944" s="147">
        <v>259.51</v>
      </c>
      <c r="M944" s="147">
        <v>261.02999999999997</v>
      </c>
      <c r="N944" s="147">
        <v>406106</v>
      </c>
      <c r="O944" s="147" t="s">
        <v>974</v>
      </c>
      <c r="P944" s="151">
        <f t="shared" si="32"/>
        <v>1.2105888212083027E-2</v>
      </c>
    </row>
    <row r="945" spans="2:16" ht="14.25" customHeight="1">
      <c r="B945" s="243">
        <v>367.09080663000293</v>
      </c>
      <c r="C945" s="243">
        <v>369.23017711773355</v>
      </c>
      <c r="D945" s="243">
        <v>363.45097267802697</v>
      </c>
      <c r="E945" s="243">
        <v>365.88075544915984</v>
      </c>
      <c r="F945" s="243">
        <v>4873799.0122789731</v>
      </c>
      <c r="G945" s="243" t="s">
        <v>975</v>
      </c>
      <c r="H945" s="151">
        <f t="shared" si="31"/>
        <v>3.3072282781247964E-3</v>
      </c>
      <c r="J945" s="147">
        <v>262.60000000000002</v>
      </c>
      <c r="K945" s="147">
        <v>266.35000000000002</v>
      </c>
      <c r="L945" s="147">
        <v>260.67</v>
      </c>
      <c r="M945" s="147">
        <v>264.82</v>
      </c>
      <c r="N945" s="147">
        <v>437399</v>
      </c>
      <c r="O945" s="147" t="s">
        <v>975</v>
      </c>
      <c r="P945" s="151">
        <f t="shared" si="32"/>
        <v>-8.3830526395286542E-3</v>
      </c>
    </row>
    <row r="946" spans="2:16" ht="14.25" customHeight="1">
      <c r="B946" s="243">
        <v>367.22633236225738</v>
      </c>
      <c r="C946" s="243">
        <v>367.31345604727807</v>
      </c>
      <c r="D946" s="243">
        <v>363.20896244185832</v>
      </c>
      <c r="E946" s="243">
        <v>363.6436128260172</v>
      </c>
      <c r="F946" s="243">
        <v>3079001.995109133</v>
      </c>
      <c r="G946" s="243" t="s">
        <v>976</v>
      </c>
      <c r="H946" s="151">
        <f t="shared" si="31"/>
        <v>9.852282316737071E-3</v>
      </c>
      <c r="J946" s="147">
        <v>266.72000000000003</v>
      </c>
      <c r="K946" s="147">
        <v>268.44</v>
      </c>
      <c r="L946" s="147">
        <v>264.61</v>
      </c>
      <c r="M946" s="147">
        <v>266</v>
      </c>
      <c r="N946" s="147">
        <v>169702</v>
      </c>
      <c r="O946" s="147" t="s">
        <v>976</v>
      </c>
      <c r="P946" s="151">
        <f t="shared" si="32"/>
        <v>2.706766917293324E-3</v>
      </c>
    </row>
    <row r="947" spans="2:16" ht="14.25" customHeight="1">
      <c r="B947" s="243">
        <v>363.03471507181695</v>
      </c>
      <c r="C947" s="243">
        <v>363.39289022134648</v>
      </c>
      <c r="D947" s="243">
        <v>360.30483960783494</v>
      </c>
      <c r="E947" s="243">
        <v>361.07927236357455</v>
      </c>
      <c r="F947" s="243">
        <v>3364222.3688122826</v>
      </c>
      <c r="G947" s="243" t="s">
        <v>977</v>
      </c>
      <c r="H947" s="151">
        <f t="shared" si="31"/>
        <v>5.4155495978551738E-3</v>
      </c>
      <c r="J947" s="147">
        <v>264.58</v>
      </c>
      <c r="K947" s="147">
        <v>264.82</v>
      </c>
      <c r="L947" s="147">
        <v>258.8</v>
      </c>
      <c r="M947" s="147">
        <v>260.33999999999997</v>
      </c>
      <c r="N947" s="147">
        <v>209750</v>
      </c>
      <c r="O947" s="147" t="s">
        <v>977</v>
      </c>
      <c r="P947" s="151">
        <f t="shared" si="32"/>
        <v>1.6286394714603913E-2</v>
      </c>
    </row>
    <row r="948" spans="2:16" ht="14.25" customHeight="1">
      <c r="B948" s="243">
        <v>362.15379781216319</v>
      </c>
      <c r="C948" s="243">
        <v>368.82359992097025</v>
      </c>
      <c r="D948" s="243">
        <v>361.02951505901825</v>
      </c>
      <c r="E948" s="243">
        <v>368.79455869263001</v>
      </c>
      <c r="F948" s="243">
        <v>3437576.7040711897</v>
      </c>
      <c r="G948" s="243" t="s">
        <v>978</v>
      </c>
      <c r="H948" s="151">
        <f t="shared" si="31"/>
        <v>-1.8006667191642345E-2</v>
      </c>
      <c r="J948" s="147">
        <v>262.02</v>
      </c>
      <c r="K948" s="147">
        <v>266.29000000000002</v>
      </c>
      <c r="L948" s="147">
        <v>259.8</v>
      </c>
      <c r="M948" s="147">
        <v>265.58999999999997</v>
      </c>
      <c r="N948" s="147">
        <v>301958</v>
      </c>
      <c r="O948" s="147" t="s">
        <v>978</v>
      </c>
      <c r="P948" s="151">
        <f t="shared" si="32"/>
        <v>-1.3441771151022186E-2</v>
      </c>
    </row>
    <row r="949" spans="2:16" ht="14.25" customHeight="1">
      <c r="B949" s="243">
        <v>365.28057006346165</v>
      </c>
      <c r="C949" s="243">
        <v>368.75583705484303</v>
      </c>
      <c r="D949" s="243">
        <v>364.69006508721031</v>
      </c>
      <c r="E949" s="243">
        <v>367.55546628344666</v>
      </c>
      <c r="F949" s="243">
        <v>3017953.9574975902</v>
      </c>
      <c r="G949" s="243" t="s">
        <v>979</v>
      </c>
      <c r="H949" s="151">
        <f t="shared" si="31"/>
        <v>-6.1892596591957005E-3</v>
      </c>
      <c r="J949" s="147">
        <v>267.3</v>
      </c>
      <c r="K949" s="147">
        <v>269</v>
      </c>
      <c r="L949" s="147">
        <v>264.11</v>
      </c>
      <c r="M949" s="147">
        <v>265.3</v>
      </c>
      <c r="N949" s="147">
        <v>217682</v>
      </c>
      <c r="O949" s="147" t="s">
        <v>979</v>
      </c>
      <c r="P949" s="151">
        <f t="shared" si="32"/>
        <v>7.5386355069733124E-3</v>
      </c>
    </row>
    <row r="950" spans="2:16" ht="14.25" customHeight="1">
      <c r="B950" s="243">
        <v>369.32698121220096</v>
      </c>
      <c r="C950" s="243">
        <v>370.51457384312761</v>
      </c>
      <c r="D950" s="243">
        <v>362.64749869394717</v>
      </c>
      <c r="E950" s="243">
        <v>363.78010659921631</v>
      </c>
      <c r="F950" s="243">
        <v>4653349.6592076896</v>
      </c>
      <c r="G950" s="243" t="s">
        <v>980</v>
      </c>
      <c r="H950" s="151">
        <f t="shared" si="31"/>
        <v>1.5247877804092758E-2</v>
      </c>
      <c r="J950" s="147">
        <v>267.10000000000002</v>
      </c>
      <c r="K950" s="147">
        <v>268.49</v>
      </c>
      <c r="L950" s="147">
        <v>257.86</v>
      </c>
      <c r="M950" s="147">
        <v>258.66000000000003</v>
      </c>
      <c r="N950" s="147">
        <v>212836</v>
      </c>
      <c r="O950" s="147" t="s">
        <v>980</v>
      </c>
      <c r="P950" s="151">
        <f t="shared" si="32"/>
        <v>3.2629706951210036E-2</v>
      </c>
    </row>
    <row r="951" spans="2:16" ht="14.25" customHeight="1">
      <c r="B951" s="243">
        <v>364.62230222108309</v>
      </c>
      <c r="C951" s="243">
        <v>365.85171422081964</v>
      </c>
      <c r="D951" s="243">
        <v>363.03471507181695</v>
      </c>
      <c r="E951" s="243">
        <v>364.54001874078574</v>
      </c>
      <c r="F951" s="243">
        <v>2975182.0063443012</v>
      </c>
      <c r="G951" s="243" t="s">
        <v>981</v>
      </c>
      <c r="H951" s="151">
        <f t="shared" si="31"/>
        <v>2.2571864834364241E-4</v>
      </c>
      <c r="J951" s="147">
        <v>259.69</v>
      </c>
      <c r="K951" s="147">
        <v>261.69</v>
      </c>
      <c r="L951" s="147">
        <v>256.14</v>
      </c>
      <c r="M951" s="147">
        <v>257.88</v>
      </c>
      <c r="N951" s="147">
        <v>133447</v>
      </c>
      <c r="O951" s="147" t="s">
        <v>981</v>
      </c>
      <c r="P951" s="151">
        <f t="shared" si="32"/>
        <v>7.0187684194198408E-3</v>
      </c>
    </row>
    <row r="952" spans="2:16" ht="14.25" customHeight="1">
      <c r="B952" s="243">
        <v>366.74231188992019</v>
      </c>
      <c r="C952" s="243">
        <v>370.95328999925403</v>
      </c>
      <c r="D952" s="243">
        <v>365.71618848856525</v>
      </c>
      <c r="E952" s="243">
        <v>366.14212650422201</v>
      </c>
      <c r="F952" s="243">
        <v>6686193.425606193</v>
      </c>
      <c r="G952" s="243" t="s">
        <v>982</v>
      </c>
      <c r="H952" s="151">
        <f t="shared" si="31"/>
        <v>1.6392142347250171E-3</v>
      </c>
      <c r="J952" s="147">
        <v>261.02</v>
      </c>
      <c r="K952" s="147">
        <v>266.15499999999997</v>
      </c>
      <c r="L952" s="147">
        <v>259.75</v>
      </c>
      <c r="M952" s="147">
        <v>260.86</v>
      </c>
      <c r="N952" s="147">
        <v>210772</v>
      </c>
      <c r="O952" s="147" t="s">
        <v>982</v>
      </c>
      <c r="P952" s="151">
        <f t="shared" si="32"/>
        <v>6.1335582304677949E-4</v>
      </c>
    </row>
    <row r="953" spans="2:16" ht="14.25" customHeight="1">
      <c r="B953" s="243">
        <v>370.7015993536387</v>
      </c>
      <c r="C953" s="243">
        <v>372.1246195423102</v>
      </c>
      <c r="D953" s="243">
        <v>367.27473440949109</v>
      </c>
      <c r="E953" s="243">
        <v>369.06561015713885</v>
      </c>
      <c r="F953" s="243">
        <v>5379861.2844329085</v>
      </c>
      <c r="G953" s="243" t="s">
        <v>983</v>
      </c>
      <c r="H953" s="151">
        <f t="shared" si="31"/>
        <v>4.432786885245843E-3</v>
      </c>
      <c r="J953" s="147">
        <v>265.19</v>
      </c>
      <c r="K953" s="147">
        <v>266.63</v>
      </c>
      <c r="L953" s="147">
        <v>258</v>
      </c>
      <c r="M953" s="147">
        <v>258</v>
      </c>
      <c r="N953" s="147">
        <v>354017</v>
      </c>
      <c r="O953" s="147" t="s">
        <v>983</v>
      </c>
      <c r="P953" s="151">
        <f t="shared" si="32"/>
        <v>2.7868217054263456E-2</v>
      </c>
    </row>
    <row r="954" spans="2:16" ht="14.25" customHeight="1">
      <c r="B954" s="243">
        <v>365.46449784294981</v>
      </c>
      <c r="C954" s="243">
        <v>368.01044552744372</v>
      </c>
      <c r="D954" s="243">
        <v>357.94281970282924</v>
      </c>
      <c r="E954" s="243">
        <v>360.53716943455686</v>
      </c>
      <c r="F954" s="243">
        <v>5104837.7934693824</v>
      </c>
      <c r="G954" s="243" t="s">
        <v>984</v>
      </c>
      <c r="H954" s="151">
        <f t="shared" si="31"/>
        <v>1.36666308667166E-2</v>
      </c>
      <c r="J954" s="147">
        <v>257.3</v>
      </c>
      <c r="K954" s="147">
        <v>257.76</v>
      </c>
      <c r="L954" s="147">
        <v>250.47</v>
      </c>
      <c r="M954" s="147">
        <v>251.55</v>
      </c>
      <c r="N954" s="147">
        <v>230903</v>
      </c>
      <c r="O954" s="147" t="s">
        <v>984</v>
      </c>
      <c r="P954" s="151">
        <f t="shared" si="32"/>
        <v>2.2858278672232224E-2</v>
      </c>
    </row>
    <row r="955" spans="2:16" ht="14.25" customHeight="1">
      <c r="B955" s="243">
        <v>361.5052103792313</v>
      </c>
      <c r="C955" s="243">
        <v>361.60201447369877</v>
      </c>
      <c r="D955" s="243">
        <v>356.55852115194477</v>
      </c>
      <c r="E955" s="243">
        <v>356.82957261645367</v>
      </c>
      <c r="F955" s="243">
        <v>4319740.8363819132</v>
      </c>
      <c r="G955" s="243" t="s">
        <v>985</v>
      </c>
      <c r="H955" s="151">
        <f t="shared" si="31"/>
        <v>1.3103279889313812E-2</v>
      </c>
      <c r="J955" s="147">
        <v>250.41</v>
      </c>
      <c r="K955" s="147">
        <v>252.49</v>
      </c>
      <c r="L955" s="147">
        <v>245.89</v>
      </c>
      <c r="M955" s="147">
        <v>250</v>
      </c>
      <c r="N955" s="147">
        <v>352846</v>
      </c>
      <c r="O955" s="147" t="s">
        <v>985</v>
      </c>
      <c r="P955" s="151">
        <f t="shared" si="32"/>
        <v>1.6400000000000858E-3</v>
      </c>
    </row>
    <row r="956" spans="2:16" ht="14.25" customHeight="1">
      <c r="B956" s="243">
        <v>356.44235623858384</v>
      </c>
      <c r="C956" s="243">
        <v>360.39196329285568</v>
      </c>
      <c r="D956" s="243">
        <v>356.10354190794783</v>
      </c>
      <c r="E956" s="243">
        <v>358.32035567125229</v>
      </c>
      <c r="F956" s="243">
        <v>3388900.0439988766</v>
      </c>
      <c r="G956" s="243" t="s">
        <v>986</v>
      </c>
      <c r="H956" s="151">
        <f t="shared" si="31"/>
        <v>-5.2411184654869158E-3</v>
      </c>
      <c r="J956" s="147">
        <v>250</v>
      </c>
      <c r="K956" s="147">
        <v>252.17</v>
      </c>
      <c r="L956" s="147">
        <v>245.68</v>
      </c>
      <c r="M956" s="147">
        <v>248.81</v>
      </c>
      <c r="N956" s="147">
        <v>234386</v>
      </c>
      <c r="O956" s="147" t="s">
        <v>986</v>
      </c>
      <c r="P956" s="151">
        <f t="shared" si="32"/>
        <v>4.782765965998248E-3</v>
      </c>
    </row>
    <row r="957" spans="2:16" ht="14.25" customHeight="1">
      <c r="B957" s="243">
        <v>360.95342704076688</v>
      </c>
      <c r="C957" s="243">
        <v>363.09279752849739</v>
      </c>
      <c r="D957" s="243">
        <v>358.91086064750374</v>
      </c>
      <c r="E957" s="243">
        <v>359.0367059703114</v>
      </c>
      <c r="F957" s="243">
        <v>5732734.7882647878</v>
      </c>
      <c r="G957" s="243" t="s">
        <v>987</v>
      </c>
      <c r="H957" s="151">
        <f t="shared" si="31"/>
        <v>5.3385100703713384E-3</v>
      </c>
      <c r="J957" s="147">
        <v>250.44</v>
      </c>
      <c r="K957" s="147">
        <v>252.68</v>
      </c>
      <c r="L957" s="147">
        <v>242.05</v>
      </c>
      <c r="M957" s="147">
        <v>243.54</v>
      </c>
      <c r="N957" s="147">
        <v>268750</v>
      </c>
      <c r="O957" s="147" t="s">
        <v>987</v>
      </c>
      <c r="P957" s="151">
        <f t="shared" si="32"/>
        <v>2.8332101502833273E-2</v>
      </c>
    </row>
    <row r="958" spans="2:16" ht="14.25" customHeight="1">
      <c r="B958" s="243">
        <v>359.92730363941195</v>
      </c>
      <c r="C958" s="243">
        <v>360.16931387558054</v>
      </c>
      <c r="D958" s="243">
        <v>355.86153167177918</v>
      </c>
      <c r="E958" s="243">
        <v>358.62044836410138</v>
      </c>
      <c r="F958" s="243">
        <v>3575193.8169969241</v>
      </c>
      <c r="G958" s="243" t="s">
        <v>988</v>
      </c>
      <c r="H958" s="151">
        <f t="shared" si="31"/>
        <v>3.6441181234143638E-3</v>
      </c>
      <c r="J958" s="147">
        <v>244.58</v>
      </c>
      <c r="K958" s="147">
        <v>245.01</v>
      </c>
      <c r="L958" s="147">
        <v>237.14</v>
      </c>
      <c r="M958" s="147">
        <v>240.08</v>
      </c>
      <c r="N958" s="147">
        <v>251317</v>
      </c>
      <c r="O958" s="147" t="s">
        <v>988</v>
      </c>
      <c r="P958" s="151">
        <f t="shared" si="32"/>
        <v>1.8743752082639009E-2</v>
      </c>
    </row>
    <row r="959" spans="2:16" ht="14.25" customHeight="1">
      <c r="B959" s="243">
        <v>356.12290272684129</v>
      </c>
      <c r="C959" s="243">
        <v>356.39395419135013</v>
      </c>
      <c r="D959" s="243">
        <v>350.10168805096617</v>
      </c>
      <c r="E959" s="243">
        <v>352.15393485367593</v>
      </c>
      <c r="F959" s="243">
        <v>3162761.8819672936</v>
      </c>
      <c r="G959" s="243" t="s">
        <v>989</v>
      </c>
      <c r="H959" s="151">
        <f t="shared" si="31"/>
        <v>1.1270548133487379E-2</v>
      </c>
      <c r="J959" s="147">
        <v>238.86</v>
      </c>
      <c r="K959" s="147">
        <v>240.56</v>
      </c>
      <c r="L959" s="147">
        <v>233.5</v>
      </c>
      <c r="M959" s="147">
        <v>239.2</v>
      </c>
      <c r="N959" s="147">
        <v>319408</v>
      </c>
      <c r="O959" s="147" t="s">
        <v>989</v>
      </c>
      <c r="P959" s="151">
        <f t="shared" si="32"/>
        <v>-1.4214046822741411E-3</v>
      </c>
    </row>
    <row r="960" spans="2:16" ht="14.25" customHeight="1">
      <c r="B960" s="243">
        <v>355.99705740403363</v>
      </c>
      <c r="C960" s="243">
        <v>356.82957261645367</v>
      </c>
      <c r="D960" s="243">
        <v>353.74152200294213</v>
      </c>
      <c r="E960" s="243">
        <v>354.85476908931776</v>
      </c>
      <c r="F960" s="243">
        <v>2791596.796464812</v>
      </c>
      <c r="G960" s="243" t="s">
        <v>990</v>
      </c>
      <c r="H960" s="151">
        <f t="shared" si="31"/>
        <v>3.2190304716697149E-3</v>
      </c>
      <c r="J960" s="147">
        <v>243.6</v>
      </c>
      <c r="K960" s="147">
        <v>253.22</v>
      </c>
      <c r="L960" s="147">
        <v>242.08</v>
      </c>
      <c r="M960" s="147">
        <v>247.21</v>
      </c>
      <c r="N960" s="147">
        <v>209939</v>
      </c>
      <c r="O960" s="147" t="s">
        <v>990</v>
      </c>
      <c r="P960" s="151">
        <f t="shared" si="32"/>
        <v>-1.4602969135552812E-2</v>
      </c>
    </row>
    <row r="961" spans="2:16" ht="14.25" customHeight="1">
      <c r="B961" s="243">
        <v>356.37459337245662</v>
      </c>
      <c r="C961" s="243">
        <v>358.17514952955116</v>
      </c>
      <c r="D961" s="243">
        <v>352.02808953086827</v>
      </c>
      <c r="E961" s="243">
        <v>352.86060474328832</v>
      </c>
      <c r="F961" s="243">
        <v>3350357.2528026351</v>
      </c>
      <c r="G961" s="243" t="s">
        <v>991</v>
      </c>
      <c r="H961" s="151">
        <f t="shared" si="31"/>
        <v>9.9585745247043889E-3</v>
      </c>
      <c r="J961" s="147">
        <v>250.63</v>
      </c>
      <c r="K961" s="147">
        <v>250.85</v>
      </c>
      <c r="L961" s="147">
        <v>245.27</v>
      </c>
      <c r="M961" s="147">
        <v>247.57</v>
      </c>
      <c r="N961" s="147">
        <v>308862</v>
      </c>
      <c r="O961" s="147" t="s">
        <v>991</v>
      </c>
      <c r="P961" s="151">
        <f t="shared" si="32"/>
        <v>1.2360140566304523E-2</v>
      </c>
    </row>
    <row r="962" spans="2:16" ht="14.25" customHeight="1">
      <c r="B962" s="243">
        <v>352.08617198754877</v>
      </c>
      <c r="C962" s="243">
        <v>352.27978017648371</v>
      </c>
      <c r="D962" s="243">
        <v>345.4744523354222</v>
      </c>
      <c r="E962" s="243">
        <v>346.99427661856112</v>
      </c>
      <c r="F962" s="243">
        <v>3372855.2681188406</v>
      </c>
      <c r="G962" s="243" t="s">
        <v>992</v>
      </c>
      <c r="H962" s="151">
        <f t="shared" si="31"/>
        <v>1.4674292090947061E-2</v>
      </c>
      <c r="J962" s="147">
        <v>248.34</v>
      </c>
      <c r="K962" s="147">
        <v>248.67</v>
      </c>
      <c r="L962" s="147">
        <v>239.03</v>
      </c>
      <c r="M962" s="147">
        <v>240.85</v>
      </c>
      <c r="N962" s="147">
        <v>335396</v>
      </c>
      <c r="O962" s="147" t="s">
        <v>992</v>
      </c>
      <c r="P962" s="151">
        <f t="shared" si="32"/>
        <v>3.1098193896616166E-2</v>
      </c>
    </row>
    <row r="963" spans="2:16" ht="14.25" customHeight="1">
      <c r="B963" s="243">
        <v>345.72614298103753</v>
      </c>
      <c r="C963" s="243">
        <v>347.87035367349154</v>
      </c>
      <c r="D963" s="243">
        <v>344.47737016240751</v>
      </c>
      <c r="E963" s="243">
        <v>346.32632836673571</v>
      </c>
      <c r="F963" s="243">
        <v>3630917.699645442</v>
      </c>
      <c r="G963" s="243" t="s">
        <v>993</v>
      </c>
      <c r="H963" s="151">
        <f t="shared" si="31"/>
        <v>-1.7330053667263812E-3</v>
      </c>
      <c r="J963" s="147">
        <v>239.66</v>
      </c>
      <c r="K963" s="147">
        <v>241.41</v>
      </c>
      <c r="L963" s="147">
        <v>235.88</v>
      </c>
      <c r="M963" s="147">
        <v>238.15</v>
      </c>
      <c r="N963" s="147">
        <v>274538</v>
      </c>
      <c r="O963" s="147" t="s">
        <v>993</v>
      </c>
      <c r="P963" s="151">
        <f t="shared" si="32"/>
        <v>6.340541675414535E-3</v>
      </c>
    </row>
    <row r="964" spans="2:16" ht="14.25" customHeight="1">
      <c r="B964" s="243">
        <v>348.23336902774446</v>
      </c>
      <c r="C964" s="243">
        <v>355.90993371901294</v>
      </c>
      <c r="D964" s="243">
        <v>348.08816288604322</v>
      </c>
      <c r="E964" s="243">
        <v>354.95157318378523</v>
      </c>
      <c r="F964" s="243">
        <v>4061608.1598926638</v>
      </c>
      <c r="G964" s="243" t="s">
        <v>994</v>
      </c>
      <c r="H964" s="151">
        <f t="shared" si="31"/>
        <v>-1.8927100662721297E-2</v>
      </c>
      <c r="J964" s="147">
        <v>239.51</v>
      </c>
      <c r="K964" s="147">
        <v>246.005</v>
      </c>
      <c r="L964" s="147">
        <v>234.12</v>
      </c>
      <c r="M964" s="147">
        <v>234.73</v>
      </c>
      <c r="N964" s="147">
        <v>327631</v>
      </c>
      <c r="O964" s="147" t="s">
        <v>994</v>
      </c>
      <c r="P964" s="151">
        <f t="shared" si="32"/>
        <v>2.0363822263877562E-2</v>
      </c>
    </row>
    <row r="965" spans="2:16" ht="14.25" customHeight="1">
      <c r="B965" s="243">
        <v>353.98353223911073</v>
      </c>
      <c r="C965" s="243">
        <v>355.96801617569338</v>
      </c>
      <c r="D965" s="243">
        <v>353.20909948337118</v>
      </c>
      <c r="E965" s="243">
        <v>354.48691353034144</v>
      </c>
      <c r="F965" s="243">
        <v>5105159.0608720798</v>
      </c>
      <c r="G965" s="243" t="s">
        <v>995</v>
      </c>
      <c r="H965" s="151">
        <f t="shared" si="31"/>
        <v>-1.4200278543925471E-3</v>
      </c>
      <c r="J965" s="147">
        <v>233.13</v>
      </c>
      <c r="K965" s="147">
        <v>237.61</v>
      </c>
      <c r="L965" s="147">
        <v>229.78</v>
      </c>
      <c r="M965" s="147">
        <v>232.18</v>
      </c>
      <c r="N965" s="147">
        <v>339320</v>
      </c>
      <c r="O965" s="147" t="s">
        <v>995</v>
      </c>
      <c r="P965" s="151">
        <f t="shared" si="32"/>
        <v>4.0916530278232166E-3</v>
      </c>
    </row>
    <row r="966" spans="2:16" ht="14.25" customHeight="1">
      <c r="B966" s="243">
        <v>354.52563516812842</v>
      </c>
      <c r="C966" s="243">
        <v>355.00936522818222</v>
      </c>
      <c r="D966" s="243">
        <v>349.91776027147802</v>
      </c>
      <c r="E966" s="243">
        <v>350.1217264985209</v>
      </c>
      <c r="F966" s="243">
        <v>3114702.9643606166</v>
      </c>
      <c r="G966" s="243" t="s">
        <v>996</v>
      </c>
      <c r="H966" s="151">
        <f t="shared" si="31"/>
        <v>1.257822161923472E-2</v>
      </c>
      <c r="J966" s="147">
        <v>237.78</v>
      </c>
      <c r="K966" s="147">
        <v>240.4</v>
      </c>
      <c r="L966" s="147">
        <v>229.19</v>
      </c>
      <c r="M966" s="147">
        <v>229.19</v>
      </c>
      <c r="N966" s="147">
        <v>411480</v>
      </c>
      <c r="O966" s="147" t="s">
        <v>996</v>
      </c>
      <c r="P966" s="151">
        <f t="shared" si="32"/>
        <v>3.7479820236484995E-2</v>
      </c>
    </row>
    <row r="967" spans="2:16" ht="14.25" customHeight="1">
      <c r="B967" s="243">
        <v>353.15101702669068</v>
      </c>
      <c r="C967" s="243">
        <v>354.44819189255446</v>
      </c>
      <c r="D967" s="243">
        <v>349.07556464961124</v>
      </c>
      <c r="E967" s="243">
        <v>352.83156351494813</v>
      </c>
      <c r="F967" s="243">
        <v>4900061.3311817646</v>
      </c>
      <c r="G967" s="243" t="s">
        <v>997</v>
      </c>
      <c r="H967" s="151">
        <f t="shared" si="31"/>
        <v>9.0539947322199055E-4</v>
      </c>
      <c r="J967" s="147">
        <v>230.51</v>
      </c>
      <c r="K967" s="147">
        <v>231.15</v>
      </c>
      <c r="L967" s="147">
        <v>224.03</v>
      </c>
      <c r="M967" s="147">
        <v>226.89</v>
      </c>
      <c r="N967" s="147">
        <v>235916</v>
      </c>
      <c r="O967" s="147" t="s">
        <v>997</v>
      </c>
      <c r="P967" s="151">
        <f t="shared" si="32"/>
        <v>1.5954867997708178E-2</v>
      </c>
    </row>
    <row r="968" spans="2:16" ht="14.25" customHeight="1">
      <c r="B968" s="243">
        <v>351.83448134193338</v>
      </c>
      <c r="C968" s="243">
        <v>351.89256379861388</v>
      </c>
      <c r="D968" s="243">
        <v>348.16560616161723</v>
      </c>
      <c r="E968" s="243">
        <v>348.89163687012308</v>
      </c>
      <c r="F968" s="243">
        <v>5899060.3976160996</v>
      </c>
      <c r="G968" s="243" t="s">
        <v>998</v>
      </c>
      <c r="H968" s="151">
        <f t="shared" si="31"/>
        <v>8.4348381010515006E-3</v>
      </c>
      <c r="J968" s="147">
        <v>227.87</v>
      </c>
      <c r="K968" s="147">
        <v>233.61</v>
      </c>
      <c r="L968" s="147">
        <v>222.64</v>
      </c>
      <c r="M968" s="147">
        <v>232.87</v>
      </c>
      <c r="N968" s="147">
        <v>516798</v>
      </c>
      <c r="O968" s="147" t="s">
        <v>998</v>
      </c>
      <c r="P968" s="151">
        <f t="shared" si="32"/>
        <v>-2.1471207111263824E-2</v>
      </c>
    </row>
    <row r="969" spans="2:16" ht="14.25" customHeight="1">
      <c r="B969" s="243">
        <v>347.40085381532435</v>
      </c>
      <c r="C969" s="243">
        <v>347.47829709089831</v>
      </c>
      <c r="D969" s="243">
        <v>343.61581372164721</v>
      </c>
      <c r="E969" s="243">
        <v>344.46768975296072</v>
      </c>
      <c r="F969" s="243">
        <v>3611127.2144336384</v>
      </c>
      <c r="G969" s="243" t="s">
        <v>999</v>
      </c>
      <c r="H969" s="151">
        <f t="shared" si="31"/>
        <v>8.5150629496402175E-3</v>
      </c>
      <c r="J969" s="147">
        <v>232.1</v>
      </c>
      <c r="K969" s="147">
        <v>232.14</v>
      </c>
      <c r="L969" s="147">
        <v>223.05</v>
      </c>
      <c r="M969" s="147">
        <v>227.49</v>
      </c>
      <c r="N969" s="147">
        <v>415212</v>
      </c>
      <c r="O969" s="147" t="s">
        <v>999</v>
      </c>
      <c r="P969" s="151">
        <f t="shared" si="32"/>
        <v>2.0264627016572057E-2</v>
      </c>
    </row>
    <row r="970" spans="2:16" ht="14.25" customHeight="1">
      <c r="B970" s="243">
        <v>344.94202981585124</v>
      </c>
      <c r="C970" s="243">
        <v>350.16945091709334</v>
      </c>
      <c r="D970" s="243">
        <v>344.83690056925963</v>
      </c>
      <c r="E970" s="243">
        <v>347.26532808306996</v>
      </c>
      <c r="F970" s="243">
        <v>3899961.0716565126</v>
      </c>
      <c r="G970" s="243" t="s">
        <v>1000</v>
      </c>
      <c r="H970" s="151">
        <f t="shared" ref="H970:H1033" si="33">B970/E970-1</f>
        <v>-6.6902684470214746E-3</v>
      </c>
      <c r="J970" s="147">
        <v>226</v>
      </c>
      <c r="K970" s="147">
        <v>233.64</v>
      </c>
      <c r="L970" s="147">
        <v>222.5</v>
      </c>
      <c r="M970" s="147">
        <v>233.09</v>
      </c>
      <c r="N970" s="147">
        <v>604133</v>
      </c>
      <c r="O970" s="147" t="s">
        <v>1000</v>
      </c>
      <c r="P970" s="151">
        <f t="shared" ref="P970:P1033" si="34">J970/M970-1</f>
        <v>-3.0417435325410747E-2</v>
      </c>
    </row>
    <row r="971" spans="2:16" ht="14.25" customHeight="1">
      <c r="B971" s="243">
        <v>345.19372046146657</v>
      </c>
      <c r="C971" s="243">
        <v>346.23920468171502</v>
      </c>
      <c r="D971" s="243">
        <v>337.59450224167756</v>
      </c>
      <c r="E971" s="243">
        <v>340.35351573809425</v>
      </c>
      <c r="F971" s="243">
        <v>3579163.6904006698</v>
      </c>
      <c r="G971" s="243" t="s">
        <v>1001</v>
      </c>
      <c r="H971" s="151">
        <f t="shared" si="33"/>
        <v>1.4221109815410138E-2</v>
      </c>
      <c r="J971" s="147">
        <v>230.45</v>
      </c>
      <c r="K971" s="147">
        <v>230.52500000000001</v>
      </c>
      <c r="L971" s="147">
        <v>218.55</v>
      </c>
      <c r="M971" s="147">
        <v>221.61</v>
      </c>
      <c r="N971" s="147">
        <v>222248</v>
      </c>
      <c r="O971" s="147" t="s">
        <v>1001</v>
      </c>
      <c r="P971" s="151">
        <f t="shared" si="34"/>
        <v>3.988989666531273E-2</v>
      </c>
    </row>
    <row r="972" spans="2:16" ht="14.25" customHeight="1">
      <c r="B972" s="243">
        <v>337.51715577019814</v>
      </c>
      <c r="C972" s="243">
        <v>339.58876339180148</v>
      </c>
      <c r="D972" s="243">
        <v>336.93633120339342</v>
      </c>
      <c r="E972" s="243">
        <v>339.52100052567425</v>
      </c>
      <c r="F972" s="243">
        <v>3322729.2891848423</v>
      </c>
      <c r="G972" s="243" t="s">
        <v>1002</v>
      </c>
      <c r="H972" s="151">
        <f t="shared" si="33"/>
        <v>-5.9019758788810828E-3</v>
      </c>
      <c r="J972" s="147">
        <v>220.77</v>
      </c>
      <c r="K972" s="147">
        <v>226.07499999999999</v>
      </c>
      <c r="L972" s="147">
        <v>220.01</v>
      </c>
      <c r="M972" s="147">
        <v>223.86</v>
      </c>
      <c r="N972" s="147">
        <v>236906</v>
      </c>
      <c r="O972" s="147" t="s">
        <v>1002</v>
      </c>
      <c r="P972" s="151">
        <f t="shared" si="34"/>
        <v>-1.3803269900830917E-2</v>
      </c>
    </row>
    <row r="973" spans="2:16" ht="14.25" customHeight="1">
      <c r="B973" s="243">
        <v>341.24411340719479</v>
      </c>
      <c r="C973" s="243">
        <v>343.23198548708376</v>
      </c>
      <c r="D973" s="243">
        <v>338.03989788032231</v>
      </c>
      <c r="E973" s="243">
        <v>340.84721661987828</v>
      </c>
      <c r="F973" s="243">
        <v>3222061.0266117426</v>
      </c>
      <c r="G973" s="243" t="s">
        <v>1003</v>
      </c>
      <c r="H973" s="151">
        <f t="shared" si="33"/>
        <v>1.1644419199090539E-3</v>
      </c>
      <c r="J973" s="147">
        <v>224.65</v>
      </c>
      <c r="K973" s="147">
        <v>226.28</v>
      </c>
      <c r="L973" s="147">
        <v>218.89</v>
      </c>
      <c r="M973" s="147">
        <v>223.64</v>
      </c>
      <c r="N973" s="147">
        <v>312834</v>
      </c>
      <c r="O973" s="147" t="s">
        <v>1003</v>
      </c>
      <c r="P973" s="151">
        <f t="shared" si="34"/>
        <v>4.5161867286711566E-3</v>
      </c>
    </row>
    <row r="974" spans="2:16" ht="14.25" customHeight="1">
      <c r="B974" s="243">
        <v>338.80465022661514</v>
      </c>
      <c r="C974" s="243">
        <v>343.69548349139393</v>
      </c>
      <c r="D974" s="243">
        <v>336.09413558152664</v>
      </c>
      <c r="E974" s="243">
        <v>341.89366888107133</v>
      </c>
      <c r="F974" s="243">
        <v>5120996.2009066427</v>
      </c>
      <c r="G974" s="243" t="s">
        <v>1004</v>
      </c>
      <c r="H974" s="151">
        <f t="shared" si="33"/>
        <v>-9.0350273655717128E-3</v>
      </c>
      <c r="J974" s="147">
        <v>221.2</v>
      </c>
      <c r="K974" s="147">
        <v>228.7</v>
      </c>
      <c r="L974" s="147">
        <v>218.69</v>
      </c>
      <c r="M974" s="147">
        <v>227.12</v>
      </c>
      <c r="N974" s="147">
        <v>278836</v>
      </c>
      <c r="O974" s="147" t="s">
        <v>1004</v>
      </c>
      <c r="P974" s="151">
        <f t="shared" si="34"/>
        <v>-2.6065516026770097E-2</v>
      </c>
    </row>
    <row r="975" spans="2:16" ht="14.25" customHeight="1">
      <c r="B975" s="243">
        <v>340.11150550192565</v>
      </c>
      <c r="C975" s="243">
        <v>340.25671164362683</v>
      </c>
      <c r="D975" s="243">
        <v>336.6493070632975</v>
      </c>
      <c r="E975" s="243">
        <v>338.61104203768025</v>
      </c>
      <c r="F975" s="243">
        <v>5501262.1411286136</v>
      </c>
      <c r="G975" s="243" t="s">
        <v>1005</v>
      </c>
      <c r="H975" s="151">
        <f t="shared" si="33"/>
        <v>4.4312301666713516E-3</v>
      </c>
      <c r="J975" s="147">
        <v>222.46</v>
      </c>
      <c r="K975" s="147">
        <v>222.99</v>
      </c>
      <c r="L975" s="147">
        <v>217.2</v>
      </c>
      <c r="M975" s="147">
        <v>219.38</v>
      </c>
      <c r="N975" s="147">
        <v>160468</v>
      </c>
      <c r="O975" s="147" t="s">
        <v>1005</v>
      </c>
      <c r="P975" s="151">
        <f t="shared" si="34"/>
        <v>1.4039566049776742E-2</v>
      </c>
    </row>
    <row r="976" spans="2:16" ht="14.25" customHeight="1">
      <c r="B976" s="243">
        <v>341.0505052182599</v>
      </c>
      <c r="C976" s="243">
        <v>341.83945858816958</v>
      </c>
      <c r="D976" s="243">
        <v>337.33322799070999</v>
      </c>
      <c r="E976" s="243">
        <v>337.75916600636674</v>
      </c>
      <c r="F976" s="243">
        <v>4221489.8269352159</v>
      </c>
      <c r="G976" s="243" t="s">
        <v>1006</v>
      </c>
      <c r="H976" s="151">
        <f t="shared" si="33"/>
        <v>9.7446332865207541E-3</v>
      </c>
      <c r="J976" s="147">
        <v>221.86</v>
      </c>
      <c r="K976" s="147">
        <v>224.68</v>
      </c>
      <c r="L976" s="147">
        <v>221.26840000000001</v>
      </c>
      <c r="M976" s="147">
        <v>222.59</v>
      </c>
      <c r="N976" s="147">
        <v>161372</v>
      </c>
      <c r="O976" s="147" t="s">
        <v>1006</v>
      </c>
      <c r="P976" s="151">
        <f t="shared" si="34"/>
        <v>-3.2795723078304917E-3</v>
      </c>
    </row>
    <row r="977" spans="2:16" ht="14.25" customHeight="1">
      <c r="B977" s="243">
        <v>335.10673381795874</v>
      </c>
      <c r="C977" s="243">
        <v>340.9440207143457</v>
      </c>
      <c r="D977" s="243">
        <v>334.84536276289657</v>
      </c>
      <c r="E977" s="243">
        <v>339.22090783282516</v>
      </c>
      <c r="F977" s="243">
        <v>4612040.4561001211</v>
      </c>
      <c r="G977" s="243" t="s">
        <v>1007</v>
      </c>
      <c r="H977" s="151">
        <f t="shared" si="33"/>
        <v>-1.2128303179042121E-2</v>
      </c>
      <c r="J977" s="147">
        <v>220.14</v>
      </c>
      <c r="K977" s="147">
        <v>221.71</v>
      </c>
      <c r="L977" s="147">
        <v>216.32</v>
      </c>
      <c r="M977" s="147">
        <v>220.3</v>
      </c>
      <c r="N977" s="147">
        <v>153793</v>
      </c>
      <c r="O977" s="147" t="s">
        <v>1007</v>
      </c>
      <c r="P977" s="151">
        <f t="shared" si="34"/>
        <v>-7.2628234226068678E-4</v>
      </c>
    </row>
    <row r="978" spans="2:16" ht="14.25" customHeight="1">
      <c r="B978" s="243">
        <v>339.26930988005893</v>
      </c>
      <c r="C978" s="243">
        <v>340.78913416319784</v>
      </c>
      <c r="D978" s="243">
        <v>337.7010835496863</v>
      </c>
      <c r="E978" s="243">
        <v>340.51808269868894</v>
      </c>
      <c r="F978" s="243">
        <v>4445282.0138172004</v>
      </c>
      <c r="G978" s="243" t="s">
        <v>1008</v>
      </c>
      <c r="H978" s="151">
        <f t="shared" si="33"/>
        <v>-3.6672731407776382E-3</v>
      </c>
      <c r="J978" s="147">
        <v>219.47</v>
      </c>
      <c r="K978" s="147">
        <v>222.01</v>
      </c>
      <c r="L978" s="147">
        <v>215.98500000000001</v>
      </c>
      <c r="M978" s="147">
        <v>218.83</v>
      </c>
      <c r="N978" s="147">
        <v>178928</v>
      </c>
      <c r="O978" s="147" t="s">
        <v>1008</v>
      </c>
      <c r="P978" s="151">
        <f t="shared" si="34"/>
        <v>2.9246447013662191E-3</v>
      </c>
    </row>
    <row r="979" spans="2:16" ht="14.25" customHeight="1">
      <c r="B979" s="243">
        <v>340.62456720260315</v>
      </c>
      <c r="C979" s="243">
        <v>340.69997759219331</v>
      </c>
      <c r="D979" s="243">
        <v>336.24902213267461</v>
      </c>
      <c r="E979" s="243">
        <v>337.7785268252602</v>
      </c>
      <c r="F979" s="243">
        <v>4722921.0966251921</v>
      </c>
      <c r="G979" s="243" t="s">
        <v>1009</v>
      </c>
      <c r="H979" s="151">
        <f t="shared" si="33"/>
        <v>8.4257587481730845E-3</v>
      </c>
      <c r="J979" s="147">
        <v>219.62</v>
      </c>
      <c r="K979" s="147">
        <v>223.03</v>
      </c>
      <c r="L979" s="147">
        <v>217.7</v>
      </c>
      <c r="M979" s="147">
        <v>223.03</v>
      </c>
      <c r="N979" s="147">
        <v>185855</v>
      </c>
      <c r="O979" s="147" t="s">
        <v>1009</v>
      </c>
      <c r="P979" s="151">
        <f t="shared" si="34"/>
        <v>-1.5289422947585507E-2</v>
      </c>
    </row>
    <row r="980" spans="2:16" ht="14.25" customHeight="1">
      <c r="B980" s="243">
        <v>338.72720695104124</v>
      </c>
      <c r="C980" s="243">
        <v>340.99242276157946</v>
      </c>
      <c r="D980" s="243">
        <v>333.33521888920438</v>
      </c>
      <c r="E980" s="243">
        <v>340.73105170651735</v>
      </c>
      <c r="F980" s="243">
        <v>6675578.1721331533</v>
      </c>
      <c r="G980" s="243" t="s">
        <v>1010</v>
      </c>
      <c r="H980" s="151">
        <f t="shared" si="33"/>
        <v>-5.8810159668162276E-3</v>
      </c>
      <c r="J980" s="147">
        <v>223.53</v>
      </c>
      <c r="K980" s="147">
        <v>224.19499999999999</v>
      </c>
      <c r="L980" s="147">
        <v>218.34</v>
      </c>
      <c r="M980" s="147">
        <v>220.69</v>
      </c>
      <c r="N980" s="147">
        <v>249463</v>
      </c>
      <c r="O980" s="147" t="s">
        <v>1010</v>
      </c>
      <c r="P980" s="151">
        <f t="shared" si="34"/>
        <v>1.2868729892609565E-2</v>
      </c>
    </row>
    <row r="981" spans="2:16" ht="14.25" customHeight="1">
      <c r="B981" s="243">
        <v>343.55773126496672</v>
      </c>
      <c r="C981" s="243">
        <v>344.57572312238642</v>
      </c>
      <c r="D981" s="243">
        <v>340.46000024200845</v>
      </c>
      <c r="E981" s="243">
        <v>340.9440207143457</v>
      </c>
      <c r="F981" s="243">
        <v>3958973.0383654321</v>
      </c>
      <c r="G981" s="243" t="s">
        <v>1011</v>
      </c>
      <c r="H981" s="151">
        <f t="shared" si="33"/>
        <v>7.6660988074956915E-3</v>
      </c>
      <c r="J981" s="147">
        <v>220.95</v>
      </c>
      <c r="K981" s="147">
        <v>225.02</v>
      </c>
      <c r="L981" s="147">
        <v>218.73</v>
      </c>
      <c r="M981" s="147">
        <v>221.3</v>
      </c>
      <c r="N981" s="147">
        <v>203133</v>
      </c>
      <c r="O981" s="147" t="s">
        <v>1011</v>
      </c>
      <c r="P981" s="151">
        <f t="shared" si="34"/>
        <v>-1.5815634884772667E-3</v>
      </c>
    </row>
    <row r="982" spans="2:16" ht="14.25" customHeight="1">
      <c r="B982" s="243">
        <v>338.49487712431932</v>
      </c>
      <c r="C982" s="243">
        <v>339.94209833660767</v>
      </c>
      <c r="D982" s="243">
        <v>336.11156031853085</v>
      </c>
      <c r="E982" s="243">
        <v>337.31386717181647</v>
      </c>
      <c r="F982" s="243">
        <v>5235532.6785318591</v>
      </c>
      <c r="G982" s="243" t="s">
        <v>1012</v>
      </c>
      <c r="H982" s="151">
        <f t="shared" si="33"/>
        <v>3.5012196871861967E-3</v>
      </c>
      <c r="J982" s="147">
        <v>220.1</v>
      </c>
      <c r="K982" s="147">
        <v>223.57730000000001</v>
      </c>
      <c r="L982" s="147">
        <v>219.26</v>
      </c>
      <c r="M982" s="147">
        <v>220.07</v>
      </c>
      <c r="N982" s="147">
        <v>327939</v>
      </c>
      <c r="O982" s="147" t="s">
        <v>1012</v>
      </c>
      <c r="P982" s="151">
        <f t="shared" si="34"/>
        <v>1.3632026173482359E-4</v>
      </c>
    </row>
    <row r="983" spans="2:16" ht="14.25" customHeight="1">
      <c r="B983" s="243">
        <v>337.98016975403596</v>
      </c>
      <c r="C983" s="243">
        <v>341.38107052434395</v>
      </c>
      <c r="D983" s="243">
        <v>336.47722210483471</v>
      </c>
      <c r="E983" s="243">
        <v>341.17875064848994</v>
      </c>
      <c r="F983" s="243">
        <v>5748731.7303378517</v>
      </c>
      <c r="G983" s="243" t="s">
        <v>1013</v>
      </c>
      <c r="H983" s="151">
        <f t="shared" si="33"/>
        <v>-9.3750882444300077E-3</v>
      </c>
      <c r="J983" s="147">
        <v>219.77</v>
      </c>
      <c r="K983" s="147">
        <v>222.78</v>
      </c>
      <c r="L983" s="147">
        <v>216.59</v>
      </c>
      <c r="M983" s="147">
        <v>221.15</v>
      </c>
      <c r="N983" s="147">
        <v>232687</v>
      </c>
      <c r="O983" s="147" t="s">
        <v>1013</v>
      </c>
      <c r="P983" s="151">
        <f t="shared" si="34"/>
        <v>-6.240108523626442E-3</v>
      </c>
    </row>
    <row r="984" spans="2:16" ht="14.25" customHeight="1">
      <c r="B984" s="243">
        <v>340.91862509382048</v>
      </c>
      <c r="C984" s="243">
        <v>343.7800061951844</v>
      </c>
      <c r="D984" s="243">
        <v>338.92432917468807</v>
      </c>
      <c r="E984" s="243">
        <v>342.64219775050066</v>
      </c>
      <c r="F984" s="243">
        <v>4705150.8705297643</v>
      </c>
      <c r="G984" s="243" t="s">
        <v>1014</v>
      </c>
      <c r="H984" s="151">
        <f t="shared" si="33"/>
        <v>-5.0302404899212894E-3</v>
      </c>
      <c r="J984" s="147">
        <v>223.06</v>
      </c>
      <c r="K984" s="147">
        <v>223.75</v>
      </c>
      <c r="L984" s="147">
        <v>219.63</v>
      </c>
      <c r="M984" s="147">
        <v>221.88</v>
      </c>
      <c r="N984" s="147">
        <v>503164</v>
      </c>
      <c r="O984" s="147" t="s">
        <v>1014</v>
      </c>
      <c r="P984" s="151">
        <f t="shared" si="34"/>
        <v>5.3181900126195725E-3</v>
      </c>
    </row>
    <row r="985" spans="2:16" ht="14.25" customHeight="1">
      <c r="B985" s="243">
        <v>345.03246256951883</v>
      </c>
      <c r="C985" s="243">
        <v>349.95557954863324</v>
      </c>
      <c r="D985" s="243">
        <v>343.42353784248922</v>
      </c>
      <c r="E985" s="243">
        <v>349.2137400038352</v>
      </c>
      <c r="F985" s="243">
        <v>5321365.0683377795</v>
      </c>
      <c r="G985" s="243" t="s">
        <v>1015</v>
      </c>
      <c r="H985" s="151">
        <f t="shared" si="33"/>
        <v>-1.1973404695561074E-2</v>
      </c>
      <c r="J985" s="147">
        <v>223.81</v>
      </c>
      <c r="K985" s="147">
        <v>225.34</v>
      </c>
      <c r="L985" s="147">
        <v>218.38149999999999</v>
      </c>
      <c r="M985" s="147">
        <v>221.45</v>
      </c>
      <c r="N985" s="147">
        <v>223925</v>
      </c>
      <c r="O985" s="147" t="s">
        <v>1015</v>
      </c>
      <c r="P985" s="151">
        <f t="shared" si="34"/>
        <v>1.0657033190336396E-2</v>
      </c>
    </row>
    <row r="986" spans="2:16" ht="14.25" customHeight="1">
      <c r="B986" s="243">
        <v>353.73221723124158</v>
      </c>
      <c r="C986" s="243">
        <v>359.16595103989226</v>
      </c>
      <c r="D986" s="243">
        <v>350.92864180869304</v>
      </c>
      <c r="E986" s="243">
        <v>355.60126751294058</v>
      </c>
      <c r="F986" s="243">
        <v>4885798.5199301215</v>
      </c>
      <c r="G986" s="243" t="s">
        <v>1016</v>
      </c>
      <c r="H986" s="151">
        <f t="shared" si="33"/>
        <v>-5.2560281766458328E-3</v>
      </c>
      <c r="J986" s="147">
        <v>224.97</v>
      </c>
      <c r="K986" s="147">
        <v>233.26</v>
      </c>
      <c r="L986" s="147">
        <v>223.5</v>
      </c>
      <c r="M986" s="147">
        <v>223.77</v>
      </c>
      <c r="N986" s="147">
        <v>302278</v>
      </c>
      <c r="O986" s="147" t="s">
        <v>1016</v>
      </c>
      <c r="P986" s="151">
        <f t="shared" si="34"/>
        <v>5.3626491486793437E-3</v>
      </c>
    </row>
    <row r="987" spans="2:16" ht="14.25" customHeight="1">
      <c r="B987" s="243">
        <v>355.88066162721515</v>
      </c>
      <c r="C987" s="243">
        <v>363.39539987322149</v>
      </c>
      <c r="D987" s="243">
        <v>353.38634658632918</v>
      </c>
      <c r="E987" s="243">
        <v>363.31832563480089</v>
      </c>
      <c r="F987" s="243">
        <v>6395729.7548643742</v>
      </c>
      <c r="G987" s="243" t="s">
        <v>1017</v>
      </c>
      <c r="H987" s="151">
        <f t="shared" si="33"/>
        <v>-2.0471480469889336E-2</v>
      </c>
      <c r="J987" s="147">
        <v>225.32</v>
      </c>
      <c r="K987" s="147">
        <v>227.46</v>
      </c>
      <c r="L987" s="147">
        <v>219.82499999999999</v>
      </c>
      <c r="M987" s="147">
        <v>224.76</v>
      </c>
      <c r="N987" s="147">
        <v>325600</v>
      </c>
      <c r="O987" s="147" t="s">
        <v>1017</v>
      </c>
      <c r="P987" s="151">
        <f t="shared" si="34"/>
        <v>2.4915465385300095E-3</v>
      </c>
    </row>
    <row r="988" spans="2:16" ht="14.25" customHeight="1">
      <c r="B988" s="243">
        <v>353.2697718007181</v>
      </c>
      <c r="C988" s="243">
        <v>353.2697718007181</v>
      </c>
      <c r="D988" s="243">
        <v>348.35628910140622</v>
      </c>
      <c r="E988" s="243">
        <v>349.03068868758629</v>
      </c>
      <c r="F988" s="243">
        <v>3058055.2572423751</v>
      </c>
      <c r="G988" s="243" t="s">
        <v>1018</v>
      </c>
      <c r="H988" s="151">
        <f t="shared" si="33"/>
        <v>1.2145301976371981E-2</v>
      </c>
      <c r="J988" s="147">
        <v>215.37</v>
      </c>
      <c r="K988" s="147">
        <v>222.23</v>
      </c>
      <c r="L988" s="147">
        <v>214.29</v>
      </c>
      <c r="M988" s="147">
        <v>218.31</v>
      </c>
      <c r="N988" s="147">
        <v>497750</v>
      </c>
      <c r="O988" s="147" t="s">
        <v>1018</v>
      </c>
      <c r="P988" s="151">
        <f t="shared" si="34"/>
        <v>-1.346708808574959E-2</v>
      </c>
    </row>
    <row r="989" spans="2:16" ht="14.25" customHeight="1">
      <c r="B989" s="243">
        <v>348.29848342259078</v>
      </c>
      <c r="C989" s="243">
        <v>352.07531379079518</v>
      </c>
      <c r="D989" s="243">
        <v>348.1253554145386</v>
      </c>
      <c r="E989" s="243">
        <v>349.72435683337147</v>
      </c>
      <c r="F989" s="243">
        <v>4433496.9375288524</v>
      </c>
      <c r="G989" s="243" t="s">
        <v>1019</v>
      </c>
      <c r="H989" s="151">
        <f t="shared" si="33"/>
        <v>-4.077134986225972E-3</v>
      </c>
      <c r="J989" s="147">
        <v>216.2</v>
      </c>
      <c r="K989" s="147">
        <v>230.94</v>
      </c>
      <c r="L989" s="147">
        <v>216.19</v>
      </c>
      <c r="M989" s="147">
        <v>227.2</v>
      </c>
      <c r="N989" s="147">
        <v>375640</v>
      </c>
      <c r="O989" s="147" t="s">
        <v>1019</v>
      </c>
      <c r="P989" s="151">
        <f t="shared" si="34"/>
        <v>-4.8415492957746498E-2</v>
      </c>
    </row>
    <row r="990" spans="2:16" ht="14.25" customHeight="1">
      <c r="B990" s="243">
        <v>350.86120185007502</v>
      </c>
      <c r="C990" s="243">
        <v>351.79572699092449</v>
      </c>
      <c r="D990" s="243">
        <v>348.37555766101138</v>
      </c>
      <c r="E990" s="243">
        <v>349.84960247080494</v>
      </c>
      <c r="F990" s="243">
        <v>3741344.5258644498</v>
      </c>
      <c r="G990" s="243" t="s">
        <v>1020</v>
      </c>
      <c r="H990" s="151">
        <f t="shared" si="33"/>
        <v>2.8915264505824378E-3</v>
      </c>
      <c r="J990" s="147">
        <v>228.27</v>
      </c>
      <c r="K990" s="147">
        <v>232.73500000000001</v>
      </c>
      <c r="L990" s="147">
        <v>218.28</v>
      </c>
      <c r="M990" s="147">
        <v>220.56</v>
      </c>
      <c r="N990" s="147">
        <v>727122</v>
      </c>
      <c r="O990" s="147" t="s">
        <v>1020</v>
      </c>
      <c r="P990" s="151">
        <f t="shared" si="34"/>
        <v>3.4956474428726958E-2</v>
      </c>
    </row>
    <row r="991" spans="2:16" ht="14.25" customHeight="1">
      <c r="B991" s="243">
        <v>348.11543210634193</v>
      </c>
      <c r="C991" s="243">
        <v>350.31204790132841</v>
      </c>
      <c r="D991" s="243">
        <v>347.1327355664796</v>
      </c>
      <c r="E991" s="243">
        <v>347.84567227186994</v>
      </c>
      <c r="F991" s="243">
        <v>3464687.6241946043</v>
      </c>
      <c r="G991" s="243" t="s">
        <v>1021</v>
      </c>
      <c r="H991" s="151">
        <f t="shared" si="33"/>
        <v>7.7551585652946287E-4</v>
      </c>
      <c r="J991" s="147">
        <v>220</v>
      </c>
      <c r="K991" s="147">
        <v>220.54</v>
      </c>
      <c r="L991" s="147">
        <v>215.32</v>
      </c>
      <c r="M991" s="147">
        <v>215.32</v>
      </c>
      <c r="N991" s="147">
        <v>514924</v>
      </c>
      <c r="O991" s="147" t="s">
        <v>1021</v>
      </c>
      <c r="P991" s="151">
        <f t="shared" si="34"/>
        <v>2.1735091956158303E-2</v>
      </c>
    </row>
    <row r="992" spans="2:16" ht="14.25" customHeight="1">
      <c r="B992" s="243">
        <v>348.78983169252194</v>
      </c>
      <c r="C992" s="243">
        <v>354.1657598223573</v>
      </c>
      <c r="D992" s="243">
        <v>346.76759636196209</v>
      </c>
      <c r="E992" s="243">
        <v>353.6647772726235</v>
      </c>
      <c r="F992" s="243">
        <v>4059504.2703200369</v>
      </c>
      <c r="G992" s="243" t="s">
        <v>1022</v>
      </c>
      <c r="H992" s="151">
        <f t="shared" si="33"/>
        <v>-1.3784085646571742E-2</v>
      </c>
      <c r="J992" s="147">
        <v>216.01</v>
      </c>
      <c r="K992" s="147">
        <v>216.4</v>
      </c>
      <c r="L992" s="147">
        <v>208</v>
      </c>
      <c r="M992" s="147">
        <v>211.17</v>
      </c>
      <c r="N992" s="147">
        <v>610502</v>
      </c>
      <c r="O992" s="147" t="s">
        <v>1022</v>
      </c>
      <c r="P992" s="151">
        <f t="shared" si="34"/>
        <v>2.2919922337453214E-2</v>
      </c>
    </row>
    <row r="993" spans="2:16" ht="14.25" customHeight="1">
      <c r="B993" s="243">
        <v>353.90563426768784</v>
      </c>
      <c r="C993" s="243">
        <v>358.57825997193538</v>
      </c>
      <c r="D993" s="243">
        <v>352.60500649434061</v>
      </c>
      <c r="E993" s="243">
        <v>357.70154050990129</v>
      </c>
      <c r="F993" s="243">
        <v>3847711.5840151175</v>
      </c>
      <c r="G993" s="243" t="s">
        <v>1023</v>
      </c>
      <c r="H993" s="151">
        <f t="shared" si="33"/>
        <v>-1.061193708252528E-2</v>
      </c>
      <c r="J993" s="147">
        <v>212</v>
      </c>
      <c r="K993" s="147">
        <v>212.54</v>
      </c>
      <c r="L993" s="147">
        <v>206.11</v>
      </c>
      <c r="M993" s="147">
        <v>208.52</v>
      </c>
      <c r="N993" s="147">
        <v>842275</v>
      </c>
      <c r="O993" s="147" t="s">
        <v>1023</v>
      </c>
      <c r="P993" s="151">
        <f t="shared" si="34"/>
        <v>1.6689046614233538E-2</v>
      </c>
    </row>
    <row r="994" spans="2:16" ht="14.25" customHeight="1">
      <c r="B994" s="243">
        <v>360.32206461620092</v>
      </c>
      <c r="C994" s="243">
        <v>361.16988123882732</v>
      </c>
      <c r="D994" s="243">
        <v>356.1407871818846</v>
      </c>
      <c r="E994" s="243">
        <v>356.1407871818846</v>
      </c>
      <c r="F994" s="243">
        <v>3732488.6485442561</v>
      </c>
      <c r="G994" s="243" t="s">
        <v>1024</v>
      </c>
      <c r="H994" s="151">
        <f t="shared" si="33"/>
        <v>1.1740518314126369E-2</v>
      </c>
      <c r="J994" s="147">
        <v>210.85</v>
      </c>
      <c r="K994" s="147">
        <v>212.19</v>
      </c>
      <c r="L994" s="147">
        <v>206.11</v>
      </c>
      <c r="M994" s="147">
        <v>206.63</v>
      </c>
      <c r="N994" s="147">
        <v>259143</v>
      </c>
      <c r="O994" s="147" t="s">
        <v>1024</v>
      </c>
      <c r="P994" s="151">
        <f t="shared" si="34"/>
        <v>2.0422978270338232E-2</v>
      </c>
    </row>
    <row r="995" spans="2:16" ht="14.25" customHeight="1">
      <c r="B995" s="243">
        <v>360.84231572553983</v>
      </c>
      <c r="C995" s="243">
        <v>363.21234855697259</v>
      </c>
      <c r="D995" s="243">
        <v>358.44338005469939</v>
      </c>
      <c r="E995" s="243">
        <v>362.12367493928195</v>
      </c>
      <c r="F995" s="243">
        <v>4783572.9233954372</v>
      </c>
      <c r="G995" s="243" t="s">
        <v>1025</v>
      </c>
      <c r="H995" s="151">
        <f t="shared" si="33"/>
        <v>-3.5384574453933837E-3</v>
      </c>
      <c r="J995" s="147">
        <v>210.11</v>
      </c>
      <c r="K995" s="147">
        <v>213.71</v>
      </c>
      <c r="L995" s="147">
        <v>207.33500000000001</v>
      </c>
      <c r="M995" s="147">
        <v>208.85</v>
      </c>
      <c r="N995" s="147">
        <v>237651</v>
      </c>
      <c r="O995" s="147" t="s">
        <v>1025</v>
      </c>
      <c r="P995" s="151">
        <f t="shared" si="34"/>
        <v>6.033038065597518E-3</v>
      </c>
    </row>
    <row r="996" spans="2:16" ht="14.25" customHeight="1">
      <c r="B996" s="243">
        <v>360.79414432652698</v>
      </c>
      <c r="C996" s="243">
        <v>360.89048712455269</v>
      </c>
      <c r="D996" s="243">
        <v>348.42372906002424</v>
      </c>
      <c r="E996" s="243">
        <v>350.15789942448725</v>
      </c>
      <c r="F996" s="243">
        <v>4929099.109963703</v>
      </c>
      <c r="G996" s="243" t="s">
        <v>1026</v>
      </c>
      <c r="H996" s="151">
        <f t="shared" si="33"/>
        <v>3.0375567478332588E-2</v>
      </c>
      <c r="J996" s="147">
        <v>209.51</v>
      </c>
      <c r="K996" s="147">
        <v>209.54</v>
      </c>
      <c r="L996" s="147">
        <v>200.26</v>
      </c>
      <c r="M996" s="147">
        <v>200.99</v>
      </c>
      <c r="N996" s="147">
        <v>401711</v>
      </c>
      <c r="O996" s="147" t="s">
        <v>1026</v>
      </c>
      <c r="P996" s="151">
        <f t="shared" si="34"/>
        <v>4.2390168665107586E-2</v>
      </c>
    </row>
    <row r="997" spans="2:16" ht="14.25" customHeight="1">
      <c r="B997" s="243">
        <v>350.02301950725126</v>
      </c>
      <c r="C997" s="243">
        <v>351.82462983033224</v>
      </c>
      <c r="D997" s="243">
        <v>348.25994630338056</v>
      </c>
      <c r="E997" s="243">
        <v>350.62034485501073</v>
      </c>
      <c r="F997" s="243">
        <v>2602965.7134625264</v>
      </c>
      <c r="G997" s="243" t="s">
        <v>1027</v>
      </c>
      <c r="H997" s="151">
        <f t="shared" si="33"/>
        <v>-1.7036243233587989E-3</v>
      </c>
      <c r="J997" s="147">
        <v>199.76</v>
      </c>
      <c r="K997" s="147">
        <v>203.86500000000001</v>
      </c>
      <c r="L997" s="147">
        <v>197.28</v>
      </c>
      <c r="M997" s="147">
        <v>199</v>
      </c>
      <c r="N997" s="147">
        <v>688985</v>
      </c>
      <c r="O997" s="147" t="s">
        <v>1027</v>
      </c>
      <c r="P997" s="151">
        <f t="shared" si="34"/>
        <v>3.8190954773869024E-3</v>
      </c>
    </row>
    <row r="998" spans="2:16" ht="14.25" customHeight="1">
      <c r="B998" s="243">
        <v>350.63961341461584</v>
      </c>
      <c r="C998" s="243">
        <v>354.90759936715534</v>
      </c>
      <c r="D998" s="243">
        <v>349.86887103041005</v>
      </c>
      <c r="E998" s="243">
        <v>353.44318883716437</v>
      </c>
      <c r="F998" s="243">
        <v>3692025.8419838818</v>
      </c>
      <c r="G998" s="243" t="s">
        <v>1028</v>
      </c>
      <c r="H998" s="151">
        <f t="shared" si="33"/>
        <v>-7.932181213542E-3</v>
      </c>
      <c r="J998" s="147">
        <v>198.05</v>
      </c>
      <c r="K998" s="147">
        <v>198.11</v>
      </c>
      <c r="L998" s="147">
        <v>192.78</v>
      </c>
      <c r="M998" s="147">
        <v>193.84</v>
      </c>
      <c r="N998" s="147">
        <v>551552</v>
      </c>
      <c r="O998" s="147" t="s">
        <v>1028</v>
      </c>
      <c r="P998" s="151">
        <f t="shared" si="34"/>
        <v>2.1718943458522544E-2</v>
      </c>
    </row>
    <row r="999" spans="2:16" ht="14.25" customHeight="1">
      <c r="B999" s="243">
        <v>356.2756670991206</v>
      </c>
      <c r="C999" s="243">
        <v>356.79591820845945</v>
      </c>
      <c r="D999" s="243">
        <v>355.56273039373025</v>
      </c>
      <c r="E999" s="243">
        <v>355.88066162721515</v>
      </c>
      <c r="F999" s="243">
        <v>1477478.3680456949</v>
      </c>
      <c r="G999" s="243" t="s">
        <v>1029</v>
      </c>
      <c r="H999" s="151">
        <f t="shared" si="33"/>
        <v>1.109938005901645E-3</v>
      </c>
      <c r="J999" s="147">
        <v>195.94</v>
      </c>
      <c r="K999" s="147">
        <v>197.7</v>
      </c>
      <c r="L999" s="147">
        <v>195.28</v>
      </c>
      <c r="M999" s="147">
        <v>195.61</v>
      </c>
      <c r="N999" s="147">
        <v>153460</v>
      </c>
      <c r="O999" s="147" t="s">
        <v>1029</v>
      </c>
      <c r="P999" s="151">
        <f t="shared" si="34"/>
        <v>1.6870303154234989E-3</v>
      </c>
    </row>
    <row r="1000" spans="2:16" ht="14.25" customHeight="1">
      <c r="B1000" s="243">
        <v>356.31420421833087</v>
      </c>
      <c r="C1000" s="243">
        <v>356.81509042526659</v>
      </c>
      <c r="D1000" s="243">
        <v>353.59974588395613</v>
      </c>
      <c r="E1000" s="243">
        <v>353.78038863025438</v>
      </c>
      <c r="F1000" s="243">
        <v>2689208.7972245491</v>
      </c>
      <c r="G1000" s="243" t="s">
        <v>1030</v>
      </c>
      <c r="H1000" s="151">
        <f t="shared" si="33"/>
        <v>7.1621143215054861E-3</v>
      </c>
      <c r="J1000" s="147">
        <v>196.22</v>
      </c>
      <c r="K1000" s="147">
        <v>196.36</v>
      </c>
      <c r="L1000" s="147">
        <v>190.34</v>
      </c>
      <c r="M1000" s="147">
        <v>192.72</v>
      </c>
      <c r="N1000" s="147">
        <v>275239</v>
      </c>
      <c r="O1000" s="147" t="s">
        <v>1030</v>
      </c>
      <c r="P1000" s="151">
        <f t="shared" si="34"/>
        <v>1.8161062681610662E-2</v>
      </c>
    </row>
    <row r="1001" spans="2:16" ht="14.25" customHeight="1">
      <c r="B1001" s="243">
        <v>354.09831986373928</v>
      </c>
      <c r="C1001" s="243">
        <v>354.23319978097533</v>
      </c>
      <c r="D1001" s="243">
        <v>349.92667670922549</v>
      </c>
      <c r="E1001" s="243">
        <v>351.17913308355992</v>
      </c>
      <c r="F1001" s="243">
        <v>2403878.6992481472</v>
      </c>
      <c r="G1001" s="243" t="s">
        <v>1031</v>
      </c>
      <c r="H1001" s="151">
        <f t="shared" si="33"/>
        <v>8.3125291487200492E-3</v>
      </c>
      <c r="J1001" s="147">
        <v>192.72</v>
      </c>
      <c r="K1001" s="147">
        <v>193.5</v>
      </c>
      <c r="L1001" s="147">
        <v>188.32</v>
      </c>
      <c r="M1001" s="147">
        <v>192</v>
      </c>
      <c r="N1001" s="147">
        <v>232086</v>
      </c>
      <c r="O1001" s="147" t="s">
        <v>1031</v>
      </c>
      <c r="P1001" s="151">
        <f t="shared" si="34"/>
        <v>3.7499999999999201E-3</v>
      </c>
    </row>
    <row r="1002" spans="2:16" ht="14.25" customHeight="1">
      <c r="B1002" s="243">
        <v>349.44496271909691</v>
      </c>
      <c r="C1002" s="243">
        <v>350.4359447395895</v>
      </c>
      <c r="D1002" s="243">
        <v>347.67225523542362</v>
      </c>
      <c r="E1002" s="243">
        <v>349.50276839791235</v>
      </c>
      <c r="F1002" s="243">
        <v>2488899.0657711653</v>
      </c>
      <c r="G1002" s="243" t="s">
        <v>1032</v>
      </c>
      <c r="H1002" s="151">
        <f t="shared" si="33"/>
        <v>-1.6539405132731666E-4</v>
      </c>
      <c r="J1002" s="147">
        <v>192.42</v>
      </c>
      <c r="K1002" s="147">
        <v>193.44</v>
      </c>
      <c r="L1002" s="147">
        <v>188.94</v>
      </c>
      <c r="M1002" s="147">
        <v>189.05</v>
      </c>
      <c r="N1002" s="147">
        <v>230814</v>
      </c>
      <c r="O1002" s="147" t="s">
        <v>1032</v>
      </c>
      <c r="P1002" s="151">
        <f t="shared" si="34"/>
        <v>1.7825971965088394E-2</v>
      </c>
    </row>
    <row r="1003" spans="2:16" ht="14.25" customHeight="1">
      <c r="B1003" s="243">
        <v>350.67815053382617</v>
      </c>
      <c r="C1003" s="243">
        <v>352.21963530223769</v>
      </c>
      <c r="D1003" s="243">
        <v>348.01908930831621</v>
      </c>
      <c r="E1003" s="243">
        <v>352.09438966480423</v>
      </c>
      <c r="F1003" s="243">
        <v>2672093.8697593976</v>
      </c>
      <c r="G1003" s="243" t="s">
        <v>1033</v>
      </c>
      <c r="H1003" s="151">
        <f t="shared" si="33"/>
        <v>-4.0223280249547244E-3</v>
      </c>
      <c r="J1003" s="147">
        <v>191.28</v>
      </c>
      <c r="K1003" s="147">
        <v>195.49</v>
      </c>
      <c r="L1003" s="147">
        <v>190.12</v>
      </c>
      <c r="M1003" s="147">
        <v>195.49</v>
      </c>
      <c r="N1003" s="147">
        <v>355615</v>
      </c>
      <c r="O1003" s="147" t="s">
        <v>1033</v>
      </c>
      <c r="P1003" s="151">
        <f t="shared" si="34"/>
        <v>-2.1535628420891184E-2</v>
      </c>
    </row>
    <row r="1004" spans="2:16" ht="14.25" customHeight="1">
      <c r="B1004" s="243">
        <v>349.13666576541459</v>
      </c>
      <c r="C1004" s="243">
        <v>349.71472255356895</v>
      </c>
      <c r="D1004" s="243">
        <v>345.45155374093071</v>
      </c>
      <c r="E1004" s="243">
        <v>345.67795931629115</v>
      </c>
      <c r="F1004" s="243">
        <v>3409101.7359939087</v>
      </c>
      <c r="G1004" s="243" t="s">
        <v>1034</v>
      </c>
      <c r="H1004" s="151">
        <f t="shared" si="33"/>
        <v>1.0005574136008999E-2</v>
      </c>
      <c r="J1004" s="147">
        <v>193.18</v>
      </c>
      <c r="K1004" s="147">
        <v>196.71</v>
      </c>
      <c r="L1004" s="147">
        <v>190.59</v>
      </c>
      <c r="M1004" s="147">
        <v>194</v>
      </c>
      <c r="N1004" s="147">
        <v>214878</v>
      </c>
      <c r="O1004" s="147" t="s">
        <v>1034</v>
      </c>
      <c r="P1004" s="151">
        <f t="shared" si="34"/>
        <v>-4.2268041237113474E-3</v>
      </c>
    </row>
    <row r="1005" spans="2:16" ht="14.25" customHeight="1">
      <c r="B1005" s="243">
        <v>350.14826514468467</v>
      </c>
      <c r="C1005" s="243">
        <v>352.15219534361967</v>
      </c>
      <c r="D1005" s="243">
        <v>349.57984263633296</v>
      </c>
      <c r="E1005" s="243">
        <v>351.36218439980877</v>
      </c>
      <c r="F1005" s="243">
        <v>2859708.3087252881</v>
      </c>
      <c r="G1005" s="243" t="s">
        <v>1035</v>
      </c>
      <c r="H1005" s="151">
        <f t="shared" si="33"/>
        <v>-3.4548944337812193E-3</v>
      </c>
      <c r="J1005" s="147">
        <v>197.75</v>
      </c>
      <c r="K1005" s="147">
        <v>198.57</v>
      </c>
      <c r="L1005" s="147">
        <v>192.81</v>
      </c>
      <c r="M1005" s="147">
        <v>193.8</v>
      </c>
      <c r="N1005" s="147">
        <v>191544</v>
      </c>
      <c r="O1005" s="147" t="s">
        <v>1035</v>
      </c>
      <c r="P1005" s="151">
        <f t="shared" si="34"/>
        <v>2.0381836945304377E-2</v>
      </c>
    </row>
    <row r="1006" spans="2:16" ht="14.25" customHeight="1">
      <c r="B1006" s="243">
        <v>352.8265949297998</v>
      </c>
      <c r="C1006" s="243">
        <v>356.21978827626572</v>
      </c>
      <c r="D1006" s="243">
        <v>349.32935136146602</v>
      </c>
      <c r="E1006" s="243">
        <v>355.1677249218248</v>
      </c>
      <c r="F1006" s="243">
        <v>4772333.8892155197</v>
      </c>
      <c r="G1006" s="243" t="s">
        <v>1036</v>
      </c>
      <c r="H1006" s="151">
        <f t="shared" si="33"/>
        <v>-6.5916180659160162E-3</v>
      </c>
      <c r="J1006" s="147">
        <v>195.99</v>
      </c>
      <c r="K1006" s="147">
        <v>199.78</v>
      </c>
      <c r="L1006" s="147">
        <v>192.63</v>
      </c>
      <c r="M1006" s="147">
        <v>197.94</v>
      </c>
      <c r="N1006" s="147">
        <v>329981</v>
      </c>
      <c r="O1006" s="147" t="s">
        <v>1036</v>
      </c>
      <c r="P1006" s="151">
        <f t="shared" si="34"/>
        <v>-9.8514701424673445E-3</v>
      </c>
    </row>
    <row r="1007" spans="2:16" ht="14.25" customHeight="1">
      <c r="B1007" s="243">
        <v>349.93631098902813</v>
      </c>
      <c r="C1007" s="243">
        <v>354.33917685880363</v>
      </c>
      <c r="D1007" s="243">
        <v>349.61837975554317</v>
      </c>
      <c r="E1007" s="243">
        <v>351.2369387623753</v>
      </c>
      <c r="F1007" s="243">
        <v>5474526.4909078442</v>
      </c>
      <c r="G1007" s="243" t="s">
        <v>1037</v>
      </c>
      <c r="H1007" s="151">
        <f t="shared" si="33"/>
        <v>-3.7029925665851282E-3</v>
      </c>
      <c r="J1007" s="147">
        <v>193.48</v>
      </c>
      <c r="K1007" s="147">
        <v>196.36</v>
      </c>
      <c r="L1007" s="147">
        <v>192.12</v>
      </c>
      <c r="M1007" s="147">
        <v>195.13</v>
      </c>
      <c r="N1007" s="147">
        <v>301863</v>
      </c>
      <c r="O1007" s="147" t="s">
        <v>1037</v>
      </c>
      <c r="P1007" s="151">
        <f t="shared" si="34"/>
        <v>-8.4559011940757989E-3</v>
      </c>
    </row>
    <row r="1008" spans="2:16" ht="14.25" customHeight="1">
      <c r="B1008" s="243">
        <v>352.76878925098436</v>
      </c>
      <c r="C1008" s="243">
        <v>353.59733731400553</v>
      </c>
      <c r="D1008" s="243">
        <v>348.51043757824743</v>
      </c>
      <c r="E1008" s="243">
        <v>350.38912213974896</v>
      </c>
      <c r="F1008" s="243">
        <v>5062532.0210212357</v>
      </c>
      <c r="G1008" s="243" t="s">
        <v>1038</v>
      </c>
      <c r="H1008" s="151">
        <f t="shared" si="33"/>
        <v>6.7914982540075997E-3</v>
      </c>
      <c r="J1008" s="147">
        <v>194.02</v>
      </c>
      <c r="K1008" s="147">
        <v>201.53</v>
      </c>
      <c r="L1008" s="147">
        <v>190.91</v>
      </c>
      <c r="M1008" s="147">
        <v>190.91</v>
      </c>
      <c r="N1008" s="147">
        <v>457211</v>
      </c>
      <c r="O1008" s="147" t="s">
        <v>1038</v>
      </c>
      <c r="P1008" s="151">
        <f t="shared" si="34"/>
        <v>1.6290398617149426E-2</v>
      </c>
    </row>
    <row r="1009" spans="2:16" ht="14.25" customHeight="1">
      <c r="B1009" s="243">
        <v>349.42569415949174</v>
      </c>
      <c r="C1009" s="243">
        <v>349.73399111317406</v>
      </c>
      <c r="D1009" s="243">
        <v>341.44851048296198</v>
      </c>
      <c r="E1009" s="243">
        <v>343.48134352130467</v>
      </c>
      <c r="F1009" s="243">
        <v>4778387.2737128669</v>
      </c>
      <c r="G1009" s="243" t="s">
        <v>1039</v>
      </c>
      <c r="H1009" s="151">
        <f t="shared" si="33"/>
        <v>1.7306181981375568E-2</v>
      </c>
      <c r="J1009" s="147">
        <v>190.9</v>
      </c>
      <c r="K1009" s="147">
        <v>194.97</v>
      </c>
      <c r="L1009" s="147">
        <v>181.6</v>
      </c>
      <c r="M1009" s="147">
        <v>181.6</v>
      </c>
      <c r="N1009" s="147">
        <v>469872</v>
      </c>
      <c r="O1009" s="147" t="s">
        <v>1039</v>
      </c>
      <c r="P1009" s="151">
        <f t="shared" si="34"/>
        <v>5.1211453744493429E-2</v>
      </c>
    </row>
    <row r="1010" spans="2:16" ht="14.25" customHeight="1">
      <c r="B1010" s="243">
        <v>331.29397957105084</v>
      </c>
      <c r="C1010" s="243">
        <v>337.41174724568424</v>
      </c>
      <c r="D1010" s="243">
        <v>330.80080078795714</v>
      </c>
      <c r="E1010" s="243">
        <v>336.31343934819097</v>
      </c>
      <c r="F1010" s="243">
        <v>3706341.390507102</v>
      </c>
      <c r="G1010" s="243" t="s">
        <v>1040</v>
      </c>
      <c r="H1010" s="151">
        <f t="shared" si="33"/>
        <v>-1.492494557121582E-2</v>
      </c>
      <c r="J1010" s="147">
        <v>176</v>
      </c>
      <c r="K1010" s="147">
        <v>179.79</v>
      </c>
      <c r="L1010" s="147">
        <v>172.8672</v>
      </c>
      <c r="M1010" s="147">
        <v>176.31</v>
      </c>
      <c r="N1010" s="147">
        <v>408357</v>
      </c>
      <c r="O1010" s="147" t="s">
        <v>1040</v>
      </c>
      <c r="P1010" s="151">
        <f t="shared" si="34"/>
        <v>-1.7582666893539711E-3</v>
      </c>
    </row>
    <row r="1011" spans="2:16" ht="14.25" customHeight="1">
      <c r="B1011" s="243">
        <v>338.20175818949514</v>
      </c>
      <c r="C1011" s="243">
        <v>340.92825937362306</v>
      </c>
      <c r="D1011" s="243">
        <v>334.38658338767652</v>
      </c>
      <c r="E1011" s="243">
        <v>337.4021129658816</v>
      </c>
      <c r="F1011" s="243">
        <v>3360080.9467208064</v>
      </c>
      <c r="G1011" s="243" t="s">
        <v>1041</v>
      </c>
      <c r="H1011" s="151">
        <f t="shared" si="33"/>
        <v>2.3700065674883142E-3</v>
      </c>
      <c r="J1011" s="147">
        <v>176.27</v>
      </c>
      <c r="K1011" s="147">
        <v>176.94</v>
      </c>
      <c r="L1011" s="147">
        <v>167.52</v>
      </c>
      <c r="M1011" s="147">
        <v>176.41</v>
      </c>
      <c r="N1011" s="147">
        <v>654490</v>
      </c>
      <c r="O1011" s="147" t="s">
        <v>1041</v>
      </c>
      <c r="P1011" s="151">
        <f t="shared" si="34"/>
        <v>-7.9360580465948072E-4</v>
      </c>
    </row>
    <row r="1012" spans="2:16" ht="14.25" customHeight="1">
      <c r="B1012" s="243">
        <v>336.37124502700641</v>
      </c>
      <c r="C1012" s="243">
        <v>336.92039897575302</v>
      </c>
      <c r="D1012" s="243">
        <v>332.47899598676725</v>
      </c>
      <c r="E1012" s="243">
        <v>334.36731482807141</v>
      </c>
      <c r="F1012" s="243">
        <v>3442496.0328788823</v>
      </c>
      <c r="G1012" s="243" t="s">
        <v>1042</v>
      </c>
      <c r="H1012" s="151">
        <f t="shared" si="33"/>
        <v>5.9932000230507043E-3</v>
      </c>
      <c r="J1012" s="147">
        <v>178.16</v>
      </c>
      <c r="K1012" s="147">
        <v>179.68</v>
      </c>
      <c r="L1012" s="147">
        <v>163.68</v>
      </c>
      <c r="M1012" s="147">
        <v>163.80000000000001</v>
      </c>
      <c r="N1012" s="147">
        <v>643398</v>
      </c>
      <c r="O1012" s="147" t="s">
        <v>1042</v>
      </c>
      <c r="P1012" s="151">
        <f t="shared" si="34"/>
        <v>8.7667887667887578E-2</v>
      </c>
    </row>
    <row r="1013" spans="2:16" ht="14.25" customHeight="1">
      <c r="B1013" s="243">
        <v>333.17266413255243</v>
      </c>
      <c r="C1013" s="243">
        <v>335.2922056891183</v>
      </c>
      <c r="D1013" s="243">
        <v>327.56551328745542</v>
      </c>
      <c r="E1013" s="243">
        <v>333.7410866409042</v>
      </c>
      <c r="F1013" s="243">
        <v>3794205.7682651565</v>
      </c>
      <c r="G1013" s="243" t="s">
        <v>1043</v>
      </c>
      <c r="H1013" s="151">
        <f t="shared" si="33"/>
        <v>-1.7031840882192339E-3</v>
      </c>
      <c r="J1013" s="147">
        <v>162.03</v>
      </c>
      <c r="K1013" s="147">
        <v>164.95</v>
      </c>
      <c r="L1013" s="147">
        <v>144.76</v>
      </c>
      <c r="M1013" s="147">
        <v>158.61000000000001</v>
      </c>
      <c r="N1013" s="147">
        <v>1348070</v>
      </c>
      <c r="O1013" s="147" t="s">
        <v>1043</v>
      </c>
      <c r="P1013" s="151">
        <f t="shared" si="34"/>
        <v>2.1562322678267298E-2</v>
      </c>
    </row>
    <row r="1014" spans="2:16" ht="14.25" customHeight="1">
      <c r="B1014" s="243">
        <v>328.3651585110689</v>
      </c>
      <c r="C1014" s="243">
        <v>331.2361738922354</v>
      </c>
      <c r="D1014" s="243">
        <v>326.50574250917242</v>
      </c>
      <c r="E1014" s="243">
        <v>328.85650678100006</v>
      </c>
      <c r="F1014" s="243">
        <v>4706915.4030478531</v>
      </c>
      <c r="G1014" s="243" t="s">
        <v>1044</v>
      </c>
      <c r="H1014" s="151">
        <f t="shared" si="33"/>
        <v>-1.494111443135826E-3</v>
      </c>
      <c r="J1014" s="147">
        <v>151.88</v>
      </c>
      <c r="K1014" s="147">
        <v>156.065</v>
      </c>
      <c r="L1014" s="147">
        <v>148.54499999999999</v>
      </c>
      <c r="M1014" s="147">
        <v>154.94999999999999</v>
      </c>
      <c r="N1014" s="147">
        <v>492561</v>
      </c>
      <c r="O1014" s="147" t="s">
        <v>1044</v>
      </c>
      <c r="P1014" s="151">
        <f t="shared" si="34"/>
        <v>-1.9812842852533041E-2</v>
      </c>
    </row>
    <row r="1015" spans="2:16" ht="14.25" customHeight="1">
      <c r="B1015" s="243">
        <v>331.90093919861289</v>
      </c>
      <c r="C1015" s="243">
        <v>344.06421744936034</v>
      </c>
      <c r="D1015" s="243">
        <v>331.81423068038976</v>
      </c>
      <c r="E1015" s="243">
        <v>339.87812287514265</v>
      </c>
      <c r="F1015" s="243">
        <v>5213191.9592568334</v>
      </c>
      <c r="G1015" s="243" t="s">
        <v>1045</v>
      </c>
      <c r="H1015" s="151">
        <f t="shared" si="33"/>
        <v>-2.3470718294687831E-2</v>
      </c>
      <c r="J1015" s="147">
        <v>157.38</v>
      </c>
      <c r="K1015" s="147">
        <v>163.58000000000001</v>
      </c>
      <c r="L1015" s="147">
        <v>156.93</v>
      </c>
      <c r="M1015" s="147">
        <v>161.1</v>
      </c>
      <c r="N1015" s="147">
        <v>489828</v>
      </c>
      <c r="O1015" s="147" t="s">
        <v>1045</v>
      </c>
      <c r="P1015" s="151">
        <f t="shared" si="34"/>
        <v>-2.3091247672253234E-2</v>
      </c>
    </row>
    <row r="1016" spans="2:16" ht="14.25" customHeight="1">
      <c r="B1016" s="243">
        <v>340.591059580533</v>
      </c>
      <c r="C1016" s="243">
        <v>345.64423933698214</v>
      </c>
      <c r="D1016" s="243">
        <v>339.40604316481665</v>
      </c>
      <c r="E1016" s="243">
        <v>345.41783376162169</v>
      </c>
      <c r="F1016" s="243">
        <v>8318503.4732542224</v>
      </c>
      <c r="G1016" s="243" t="s">
        <v>1046</v>
      </c>
      <c r="H1016" s="151">
        <f t="shared" si="33"/>
        <v>-1.3973726048029489E-2</v>
      </c>
      <c r="J1016" s="147">
        <v>161.85</v>
      </c>
      <c r="K1016" s="147">
        <v>175.71</v>
      </c>
      <c r="L1016" s="147">
        <v>161.34</v>
      </c>
      <c r="M1016" s="147">
        <v>174.83</v>
      </c>
      <c r="N1016" s="147">
        <v>588414</v>
      </c>
      <c r="O1016" s="147" t="s">
        <v>1046</v>
      </c>
      <c r="P1016" s="151">
        <f t="shared" si="34"/>
        <v>-7.4243550877995834E-2</v>
      </c>
    </row>
    <row r="1017" spans="2:16" ht="14.25" customHeight="1">
      <c r="B1017" s="243">
        <v>341.96876159230084</v>
      </c>
      <c r="C1017" s="243">
        <v>343.86671471340759</v>
      </c>
      <c r="D1017" s="243">
        <v>341.10167641006939</v>
      </c>
      <c r="E1017" s="243">
        <v>342.17108146815491</v>
      </c>
      <c r="F1017" s="243">
        <v>6675082.2394456752</v>
      </c>
      <c r="G1017" s="243" t="s">
        <v>1047</v>
      </c>
      <c r="H1017" s="151">
        <f t="shared" si="33"/>
        <v>-5.9128280211750983E-4</v>
      </c>
      <c r="J1017" s="147">
        <v>171.47</v>
      </c>
      <c r="K1017" s="147">
        <v>172.47</v>
      </c>
      <c r="L1017" s="147">
        <v>167.65</v>
      </c>
      <c r="M1017" s="147">
        <v>169.08</v>
      </c>
      <c r="N1017" s="147">
        <v>294238</v>
      </c>
      <c r="O1017" s="147" t="s">
        <v>1047</v>
      </c>
      <c r="P1017" s="151">
        <f t="shared" si="34"/>
        <v>1.4135320558315456E-2</v>
      </c>
    </row>
    <row r="1018" spans="2:16" ht="14.25" customHeight="1">
      <c r="B1018" s="243">
        <v>344.3098915843259</v>
      </c>
      <c r="C1018" s="243">
        <v>344.88794837248025</v>
      </c>
      <c r="D1018" s="243">
        <v>336.1881937107575</v>
      </c>
      <c r="E1018" s="243">
        <v>336.27490222898069</v>
      </c>
      <c r="F1018" s="243">
        <v>4554650.7781810993</v>
      </c>
      <c r="G1018" s="243" t="s">
        <v>1048</v>
      </c>
      <c r="H1018" s="151">
        <f t="shared" si="33"/>
        <v>2.3894109557643706E-2</v>
      </c>
      <c r="J1018" s="147">
        <v>169.48</v>
      </c>
      <c r="K1018" s="147">
        <v>173.08</v>
      </c>
      <c r="L1018" s="147">
        <v>167.13499999999999</v>
      </c>
      <c r="M1018" s="147">
        <v>170.85</v>
      </c>
      <c r="N1018" s="147">
        <v>440840</v>
      </c>
      <c r="O1018" s="147" t="s">
        <v>1048</v>
      </c>
      <c r="P1018" s="151">
        <f t="shared" si="34"/>
        <v>-8.0187298800117324E-3</v>
      </c>
    </row>
    <row r="1019" spans="2:16" ht="14.25" customHeight="1">
      <c r="B1019" s="243">
        <v>336.4579535452296</v>
      </c>
      <c r="C1019" s="243">
        <v>340.85118513520251</v>
      </c>
      <c r="D1019" s="243">
        <v>335.84617677776623</v>
      </c>
      <c r="E1019" s="243">
        <v>339.17482044955494</v>
      </c>
      <c r="F1019" s="243">
        <v>4302618.4467813289</v>
      </c>
      <c r="G1019" s="243" t="s">
        <v>1049</v>
      </c>
      <c r="H1019" s="151">
        <f t="shared" si="33"/>
        <v>-8.0102258201959486E-3</v>
      </c>
      <c r="J1019" s="147">
        <v>171.59</v>
      </c>
      <c r="K1019" s="147">
        <v>179.24</v>
      </c>
      <c r="L1019" s="147">
        <v>170.13499999999999</v>
      </c>
      <c r="M1019" s="147">
        <v>177.5</v>
      </c>
      <c r="N1019" s="147">
        <v>252558</v>
      </c>
      <c r="O1019" s="147" t="s">
        <v>1049</v>
      </c>
      <c r="P1019" s="151">
        <f t="shared" si="34"/>
        <v>-3.3295774647887355E-2</v>
      </c>
    </row>
    <row r="1020" spans="2:16" ht="14.25" customHeight="1">
      <c r="B1020" s="243">
        <v>338.26919814811316</v>
      </c>
      <c r="C1020" s="243">
        <v>343.14414372821471</v>
      </c>
      <c r="D1020" s="243">
        <v>337.62370140134078</v>
      </c>
      <c r="E1020" s="243">
        <v>337.87419267620766</v>
      </c>
      <c r="F1020" s="243">
        <v>4440091.0993449781</v>
      </c>
      <c r="G1020" s="243" t="s">
        <v>1050</v>
      </c>
      <c r="H1020" s="151">
        <f t="shared" si="33"/>
        <v>1.1690903906473871E-3</v>
      </c>
      <c r="J1020" s="147">
        <v>176.82</v>
      </c>
      <c r="K1020" s="147">
        <v>182.04</v>
      </c>
      <c r="L1020" s="147">
        <v>175.57</v>
      </c>
      <c r="M1020" s="147">
        <v>177.19</v>
      </c>
      <c r="N1020" s="147">
        <v>313468</v>
      </c>
      <c r="O1020" s="147" t="s">
        <v>1050</v>
      </c>
      <c r="P1020" s="151">
        <f t="shared" si="34"/>
        <v>-2.0881539590270615E-3</v>
      </c>
    </row>
    <row r="1021" spans="2:16" ht="14.25" customHeight="1">
      <c r="B1021" s="243">
        <v>340.81264801599218</v>
      </c>
      <c r="C1021" s="243">
        <v>341.08240785046422</v>
      </c>
      <c r="D1021" s="243">
        <v>335.30183996892089</v>
      </c>
      <c r="E1021" s="243">
        <v>335.32110852852605</v>
      </c>
      <c r="F1021" s="243">
        <v>5400918.4979356388</v>
      </c>
      <c r="G1021" s="243" t="s">
        <v>1051</v>
      </c>
      <c r="H1021" s="151">
        <f t="shared" si="33"/>
        <v>1.6376957333716247E-2</v>
      </c>
      <c r="J1021" s="147">
        <v>175.52</v>
      </c>
      <c r="K1021" s="147">
        <v>177.19</v>
      </c>
      <c r="L1021" s="147">
        <v>171.62</v>
      </c>
      <c r="M1021" s="147">
        <v>172.22</v>
      </c>
      <c r="N1021" s="147">
        <v>229648</v>
      </c>
      <c r="O1021" s="147" t="s">
        <v>1051</v>
      </c>
      <c r="P1021" s="151">
        <f t="shared" si="34"/>
        <v>1.9161537568226805E-2</v>
      </c>
    </row>
    <row r="1022" spans="2:16" ht="14.25" customHeight="1">
      <c r="B1022" s="243">
        <v>335.35964564773627</v>
      </c>
      <c r="C1022" s="243">
        <v>336.4579535452296</v>
      </c>
      <c r="D1022" s="243">
        <v>330.33055159079362</v>
      </c>
      <c r="E1022" s="243">
        <v>332.81619577985725</v>
      </c>
      <c r="F1022" s="243">
        <v>5853490.9879764495</v>
      </c>
      <c r="G1022" s="243" t="s">
        <v>1052</v>
      </c>
      <c r="H1022" s="151">
        <f t="shared" si="33"/>
        <v>7.642205818497505E-3</v>
      </c>
      <c r="J1022" s="147">
        <v>171.5</v>
      </c>
      <c r="K1022" s="147">
        <v>172.88499999999999</v>
      </c>
      <c r="L1022" s="147">
        <v>168.09</v>
      </c>
      <c r="M1022" s="147">
        <v>172.41</v>
      </c>
      <c r="N1022" s="147">
        <v>289245</v>
      </c>
      <c r="O1022" s="147" t="s">
        <v>1052</v>
      </c>
      <c r="P1022" s="151">
        <f t="shared" si="34"/>
        <v>-5.2781161185545544E-3</v>
      </c>
    </row>
    <row r="1023" spans="2:16" ht="14.25" customHeight="1">
      <c r="B1023" s="243">
        <v>331.32288241045853</v>
      </c>
      <c r="C1023" s="243">
        <v>331.79544383477469</v>
      </c>
      <c r="D1023" s="243">
        <v>321.91019104334549</v>
      </c>
      <c r="E1023" s="243">
        <v>323.23008737629789</v>
      </c>
      <c r="F1023" s="243">
        <v>4528029.1722846711</v>
      </c>
      <c r="G1023" s="243" t="s">
        <v>1053</v>
      </c>
      <c r="H1023" s="151">
        <f t="shared" si="33"/>
        <v>2.5037257824143122E-2</v>
      </c>
      <c r="J1023" s="147">
        <v>171.23</v>
      </c>
      <c r="K1023" s="147">
        <v>172.98</v>
      </c>
      <c r="L1023" s="147">
        <v>165.995</v>
      </c>
      <c r="M1023" s="147">
        <v>170.58</v>
      </c>
      <c r="N1023" s="147">
        <v>405255</v>
      </c>
      <c r="O1023" s="147" t="s">
        <v>1053</v>
      </c>
      <c r="P1023" s="151">
        <f t="shared" si="34"/>
        <v>3.810528784148115E-3</v>
      </c>
    </row>
    <row r="1024" spans="2:16" ht="14.25" customHeight="1">
      <c r="B1024" s="243">
        <v>323.54801860978279</v>
      </c>
      <c r="C1024" s="243">
        <v>329.89700899967789</v>
      </c>
      <c r="D1024" s="243">
        <v>322.79654478518216</v>
      </c>
      <c r="E1024" s="243">
        <v>325.80244008358471</v>
      </c>
      <c r="F1024" s="243">
        <v>3590365.9338152912</v>
      </c>
      <c r="G1024" s="243" t="s">
        <v>1054</v>
      </c>
      <c r="H1024" s="151">
        <f t="shared" si="33"/>
        <v>-6.9195966525712471E-3</v>
      </c>
      <c r="J1024" s="147">
        <v>170.12</v>
      </c>
      <c r="K1024" s="147">
        <v>177.745</v>
      </c>
      <c r="L1024" s="147">
        <v>169.35</v>
      </c>
      <c r="M1024" s="147">
        <v>174.29</v>
      </c>
      <c r="N1024" s="147">
        <v>389121</v>
      </c>
      <c r="O1024" s="147" t="s">
        <v>1054</v>
      </c>
      <c r="P1024" s="151">
        <f t="shared" si="34"/>
        <v>-2.3925641172757972E-2</v>
      </c>
    </row>
    <row r="1025" spans="2:16" ht="14.25" customHeight="1">
      <c r="B1025" s="243">
        <v>326.22634839489785</v>
      </c>
      <c r="C1025" s="243">
        <v>329.17443801448496</v>
      </c>
      <c r="D1025" s="243">
        <v>323.61545856840075</v>
      </c>
      <c r="E1025" s="243">
        <v>326.64062242640847</v>
      </c>
      <c r="F1025" s="243">
        <v>4570381.0665997043</v>
      </c>
      <c r="G1025" s="243" t="s">
        <v>1055</v>
      </c>
      <c r="H1025" s="151">
        <f t="shared" si="33"/>
        <v>-1.2682869277961251E-3</v>
      </c>
      <c r="J1025" s="147">
        <v>175.16</v>
      </c>
      <c r="K1025" s="147">
        <v>182.58</v>
      </c>
      <c r="L1025" s="147">
        <v>171.14</v>
      </c>
      <c r="M1025" s="147">
        <v>181.97</v>
      </c>
      <c r="N1025" s="147">
        <v>420133</v>
      </c>
      <c r="O1025" s="147" t="s">
        <v>1055</v>
      </c>
      <c r="P1025" s="151">
        <f t="shared" si="34"/>
        <v>-3.7423751167774966E-2</v>
      </c>
    </row>
    <row r="1026" spans="2:16" ht="14.25" customHeight="1">
      <c r="B1026" s="243">
        <v>328.50003842830495</v>
      </c>
      <c r="C1026" s="243">
        <v>332.38265318874153</v>
      </c>
      <c r="D1026" s="243">
        <v>325.41225175158047</v>
      </c>
      <c r="E1026" s="243">
        <v>332.07435623505921</v>
      </c>
      <c r="F1026" s="243">
        <v>5089407.9271923304</v>
      </c>
      <c r="G1026" s="243" t="s">
        <v>1056</v>
      </c>
      <c r="H1026" s="151">
        <f t="shared" si="33"/>
        <v>-1.0763606823720462E-2</v>
      </c>
      <c r="J1026" s="147">
        <v>185.04</v>
      </c>
      <c r="K1026" s="147">
        <v>192.89</v>
      </c>
      <c r="L1026" s="147">
        <v>183.68</v>
      </c>
      <c r="M1026" s="147">
        <v>189.85</v>
      </c>
      <c r="N1026" s="147">
        <v>280835</v>
      </c>
      <c r="O1026" s="147" t="s">
        <v>1056</v>
      </c>
      <c r="P1026" s="151">
        <f t="shared" si="34"/>
        <v>-2.5335791414274444E-2</v>
      </c>
    </row>
    <row r="1027" spans="2:16" ht="14.25" customHeight="1">
      <c r="B1027" s="243">
        <v>324.67522934668375</v>
      </c>
      <c r="C1027" s="243">
        <v>325.73500012496669</v>
      </c>
      <c r="D1027" s="243">
        <v>322.22812227683039</v>
      </c>
      <c r="E1027" s="243">
        <v>322.33409935465869</v>
      </c>
      <c r="F1027" s="243">
        <v>4037163.2127204295</v>
      </c>
      <c r="G1027" s="243" t="s">
        <v>1057</v>
      </c>
      <c r="H1027" s="151">
        <f t="shared" si="33"/>
        <v>7.2630540694025303E-3</v>
      </c>
      <c r="J1027" s="147">
        <v>183.67</v>
      </c>
      <c r="K1027" s="147">
        <v>187.88</v>
      </c>
      <c r="L1027" s="147">
        <v>182.23</v>
      </c>
      <c r="M1027" s="147">
        <v>184.19</v>
      </c>
      <c r="N1027" s="147">
        <v>165310</v>
      </c>
      <c r="O1027" s="147" t="s">
        <v>1057</v>
      </c>
      <c r="P1027" s="151">
        <f t="shared" si="34"/>
        <v>-2.8231717248493604E-3</v>
      </c>
    </row>
    <row r="1028" spans="2:16" ht="14.25" customHeight="1">
      <c r="B1028" s="243">
        <v>316.63060571153591</v>
      </c>
      <c r="C1028" s="243">
        <v>327.74856460370427</v>
      </c>
      <c r="D1028" s="243">
        <v>316.02846322387512</v>
      </c>
      <c r="E1028" s="243">
        <v>326.23598267470044</v>
      </c>
      <c r="F1028" s="243">
        <v>5069396.0525165992</v>
      </c>
      <c r="G1028" s="243" t="s">
        <v>1058</v>
      </c>
      <c r="H1028" s="151">
        <f t="shared" si="33"/>
        <v>-2.9443033488866677E-2</v>
      </c>
      <c r="J1028" s="147">
        <v>179.94</v>
      </c>
      <c r="K1028" s="147">
        <v>187.82</v>
      </c>
      <c r="L1028" s="147">
        <v>177.94</v>
      </c>
      <c r="M1028" s="147">
        <v>187.61</v>
      </c>
      <c r="N1028" s="147">
        <v>160354</v>
      </c>
      <c r="O1028" s="147" t="s">
        <v>1058</v>
      </c>
      <c r="P1028" s="151">
        <f t="shared" si="34"/>
        <v>-4.0882682159799622E-2</v>
      </c>
    </row>
    <row r="1029" spans="2:16" ht="14.25" customHeight="1">
      <c r="B1029" s="243">
        <v>323.92375552208313</v>
      </c>
      <c r="C1029" s="243">
        <v>325.32554323335739</v>
      </c>
      <c r="D1029" s="243">
        <v>308.17170804487751</v>
      </c>
      <c r="E1029" s="243">
        <v>309.10623318572698</v>
      </c>
      <c r="F1029" s="243">
        <v>6639718.9318625769</v>
      </c>
      <c r="G1029" s="243" t="s">
        <v>1059</v>
      </c>
      <c r="H1029" s="151">
        <f t="shared" si="33"/>
        <v>4.7936666251091165E-2</v>
      </c>
      <c r="J1029" s="147">
        <v>185.58</v>
      </c>
      <c r="K1029" s="147">
        <v>186.54499999999999</v>
      </c>
      <c r="L1029" s="147">
        <v>175.91</v>
      </c>
      <c r="M1029" s="147">
        <v>177.04</v>
      </c>
      <c r="N1029" s="147">
        <v>167316</v>
      </c>
      <c r="O1029" s="147" t="s">
        <v>1059</v>
      </c>
      <c r="P1029" s="151">
        <f t="shared" si="34"/>
        <v>4.823768639855408E-2</v>
      </c>
    </row>
    <row r="1030" spans="2:16" ht="14.25" customHeight="1">
      <c r="B1030" s="243">
        <v>315.6575434514761</v>
      </c>
      <c r="C1030" s="243">
        <v>318.49002171343233</v>
      </c>
      <c r="D1030" s="243">
        <v>315.46485785542467</v>
      </c>
      <c r="E1030" s="243">
        <v>317.11231970166455</v>
      </c>
      <c r="F1030" s="243">
        <v>3357865.9394304533</v>
      </c>
      <c r="G1030" s="243" t="s">
        <v>1060</v>
      </c>
      <c r="H1030" s="151">
        <f t="shared" si="33"/>
        <v>-4.5875740543825927E-3</v>
      </c>
      <c r="J1030" s="147">
        <v>182.22</v>
      </c>
      <c r="K1030" s="147">
        <v>182.72499999999999</v>
      </c>
      <c r="L1030" s="147">
        <v>178.42</v>
      </c>
      <c r="M1030" s="147">
        <v>182.28</v>
      </c>
      <c r="N1030" s="147">
        <v>129727</v>
      </c>
      <c r="O1030" s="147" t="s">
        <v>1060</v>
      </c>
      <c r="P1030" s="151">
        <f t="shared" si="34"/>
        <v>-3.291639236340238E-4</v>
      </c>
    </row>
    <row r="1031" spans="2:16" ht="14.25" customHeight="1">
      <c r="B1031" s="243">
        <v>316.64023999133855</v>
      </c>
      <c r="C1031" s="243">
        <v>321.36103709459888</v>
      </c>
      <c r="D1031" s="243">
        <v>314.89643534707295</v>
      </c>
      <c r="E1031" s="243">
        <v>317.1604911006774</v>
      </c>
      <c r="F1031" s="243">
        <v>5156698.89374978</v>
      </c>
      <c r="G1031" s="243" t="s">
        <v>1061</v>
      </c>
      <c r="H1031" s="151">
        <f t="shared" si="33"/>
        <v>-1.6403402187118443E-3</v>
      </c>
      <c r="J1031" s="147">
        <v>179.88</v>
      </c>
      <c r="K1031" s="147">
        <v>183.95</v>
      </c>
      <c r="L1031" s="147">
        <v>172.54</v>
      </c>
      <c r="M1031" s="147">
        <v>180.09</v>
      </c>
      <c r="N1031" s="147">
        <v>268481</v>
      </c>
      <c r="O1031" s="147" t="s">
        <v>1061</v>
      </c>
      <c r="P1031" s="151">
        <f t="shared" si="34"/>
        <v>-1.1660836248542639E-3</v>
      </c>
    </row>
    <row r="1032" spans="2:16" ht="14.25" customHeight="1">
      <c r="B1032" s="243">
        <v>318.7405129882992</v>
      </c>
      <c r="C1032" s="243">
        <v>322.43044215268441</v>
      </c>
      <c r="D1032" s="243">
        <v>316.64023999133855</v>
      </c>
      <c r="E1032" s="243">
        <v>322.23775655663297</v>
      </c>
      <c r="F1032" s="243">
        <v>4083190.5244746106</v>
      </c>
      <c r="G1032" s="243" t="s">
        <v>1062</v>
      </c>
      <c r="H1032" s="151">
        <f t="shared" si="33"/>
        <v>-1.0852991299668324E-2</v>
      </c>
      <c r="J1032" s="147">
        <v>180.52</v>
      </c>
      <c r="K1032" s="147">
        <v>182.4</v>
      </c>
      <c r="L1032" s="147">
        <v>176</v>
      </c>
      <c r="M1032" s="147">
        <v>182.4</v>
      </c>
      <c r="N1032" s="147">
        <v>266708</v>
      </c>
      <c r="O1032" s="147" t="s">
        <v>1062</v>
      </c>
      <c r="P1032" s="151">
        <f t="shared" si="34"/>
        <v>-1.0307017543859653E-2</v>
      </c>
    </row>
    <row r="1033" spans="2:16" ht="14.25" customHeight="1">
      <c r="B1033" s="243">
        <v>321.1394486591397</v>
      </c>
      <c r="C1033" s="243">
        <v>326.92965082048562</v>
      </c>
      <c r="D1033" s="243">
        <v>319.52088965230757</v>
      </c>
      <c r="E1033" s="243">
        <v>326.67915954561875</v>
      </c>
      <c r="F1033" s="243">
        <v>5364257.7399715921</v>
      </c>
      <c r="G1033" s="243" t="s">
        <v>1063</v>
      </c>
      <c r="H1033" s="151">
        <f t="shared" si="33"/>
        <v>-1.6957650112067957E-2</v>
      </c>
      <c r="J1033" s="147">
        <v>181.26</v>
      </c>
      <c r="K1033" s="147">
        <v>191.41</v>
      </c>
      <c r="L1033" s="147">
        <v>180.17</v>
      </c>
      <c r="M1033" s="147">
        <v>190.41</v>
      </c>
      <c r="N1033" s="147">
        <v>256358</v>
      </c>
      <c r="O1033" s="147" t="s">
        <v>1063</v>
      </c>
      <c r="P1033" s="151">
        <f t="shared" si="34"/>
        <v>-4.8054198834094897E-2</v>
      </c>
    </row>
    <row r="1034" spans="2:16" ht="14.25" customHeight="1">
      <c r="B1034" s="243">
        <v>330.41726010901675</v>
      </c>
      <c r="C1034" s="243">
        <v>335.25366856990803</v>
      </c>
      <c r="D1034" s="243">
        <v>329.96444895829586</v>
      </c>
      <c r="E1034" s="243">
        <v>332.5560702251878</v>
      </c>
      <c r="F1034" s="243">
        <v>4026883.2538621081</v>
      </c>
      <c r="G1034" s="243" t="s">
        <v>1064</v>
      </c>
      <c r="H1034" s="151">
        <f t="shared" ref="H1034:H1097" si="35">B1034/E1034-1</f>
        <v>-6.4314270815226671E-3</v>
      </c>
      <c r="J1034" s="147">
        <v>194.66</v>
      </c>
      <c r="K1034" s="147">
        <v>198.26499999999999</v>
      </c>
      <c r="L1034" s="147">
        <v>194.23</v>
      </c>
      <c r="M1034" s="147">
        <v>195.64</v>
      </c>
      <c r="N1034" s="147">
        <v>250902</v>
      </c>
      <c r="O1034" s="147" t="s">
        <v>1064</v>
      </c>
      <c r="P1034" s="151">
        <f t="shared" ref="P1034:P1097" si="36">J1034/M1034-1</f>
        <v>-5.0092005724799993E-3</v>
      </c>
    </row>
    <row r="1035" spans="2:16" ht="14.25" customHeight="1">
      <c r="B1035" s="243">
        <v>333.93377223695563</v>
      </c>
      <c r="C1035" s="243">
        <v>335.88953103687777</v>
      </c>
      <c r="D1035" s="243">
        <v>328.39406135047665</v>
      </c>
      <c r="E1035" s="243">
        <v>330.57140858585791</v>
      </c>
      <c r="F1035" s="243">
        <v>4936302.5544787226</v>
      </c>
      <c r="G1035" s="243" t="s">
        <v>1065</v>
      </c>
      <c r="H1035" s="151">
        <f t="shared" si="35"/>
        <v>1.0171368617393428E-2</v>
      </c>
      <c r="J1035" s="147">
        <v>196.23</v>
      </c>
      <c r="K1035" s="147">
        <v>197.95</v>
      </c>
      <c r="L1035" s="147">
        <v>191.2</v>
      </c>
      <c r="M1035" s="147">
        <v>194.12</v>
      </c>
      <c r="N1035" s="147">
        <v>267144</v>
      </c>
      <c r="O1035" s="147" t="s">
        <v>1065</v>
      </c>
      <c r="P1035" s="151">
        <f t="shared" si="36"/>
        <v>1.0869565217391131E-2</v>
      </c>
    </row>
    <row r="1036" spans="2:16" ht="14.25" customHeight="1">
      <c r="B1036" s="243">
        <v>334.51182902510993</v>
      </c>
      <c r="C1036" s="243">
        <v>334.62744038274082</v>
      </c>
      <c r="D1036" s="243">
        <v>329.61761488540327</v>
      </c>
      <c r="E1036" s="243">
        <v>329.62724916520585</v>
      </c>
      <c r="F1036" s="243">
        <v>5303932.5250193719</v>
      </c>
      <c r="G1036" s="243" t="s">
        <v>1066</v>
      </c>
      <c r="H1036" s="151">
        <f t="shared" si="35"/>
        <v>1.4818495352779459E-2</v>
      </c>
      <c r="J1036" s="147">
        <v>200.92</v>
      </c>
      <c r="K1036" s="147">
        <v>203.81</v>
      </c>
      <c r="L1036" s="147">
        <v>198.95</v>
      </c>
      <c r="M1036" s="147">
        <v>198.95</v>
      </c>
      <c r="N1036" s="147">
        <v>231605</v>
      </c>
      <c r="O1036" s="147" t="s">
        <v>1066</v>
      </c>
      <c r="P1036" s="151">
        <f t="shared" si="36"/>
        <v>9.901985423473203E-3</v>
      </c>
    </row>
    <row r="1037" spans="2:16" ht="14.25" customHeight="1">
      <c r="B1037" s="243">
        <v>324.65596078707858</v>
      </c>
      <c r="C1037" s="243">
        <v>326.27451979391077</v>
      </c>
      <c r="D1037" s="243">
        <v>318.02757628290891</v>
      </c>
      <c r="E1037" s="243">
        <v>319.65576956954362</v>
      </c>
      <c r="F1037" s="243">
        <v>5956851.075124233</v>
      </c>
      <c r="G1037" s="243" t="s">
        <v>1067</v>
      </c>
      <c r="H1037" s="151">
        <f t="shared" si="35"/>
        <v>1.5642424425088119E-2</v>
      </c>
      <c r="J1037" s="147">
        <v>195.57</v>
      </c>
      <c r="K1037" s="147">
        <v>196.33</v>
      </c>
      <c r="L1037" s="147">
        <v>187.87</v>
      </c>
      <c r="M1037" s="147">
        <v>191.2</v>
      </c>
      <c r="N1037" s="147">
        <v>207765</v>
      </c>
      <c r="O1037" s="147" t="s">
        <v>1067</v>
      </c>
      <c r="P1037" s="151">
        <f t="shared" si="36"/>
        <v>2.2855648535564876E-2</v>
      </c>
    </row>
    <row r="1038" spans="2:16" ht="14.25" customHeight="1">
      <c r="B1038" s="243">
        <v>316.2934059184459</v>
      </c>
      <c r="C1038" s="243">
        <v>323.89485268267538</v>
      </c>
      <c r="D1038" s="243">
        <v>316.11998888199963</v>
      </c>
      <c r="E1038" s="243">
        <v>320.40724339414425</v>
      </c>
      <c r="F1038" s="243">
        <v>8030315.8705588225</v>
      </c>
      <c r="G1038" s="243" t="s">
        <v>1068</v>
      </c>
      <c r="H1038" s="151">
        <f t="shared" si="35"/>
        <v>-1.2839402231109243E-2</v>
      </c>
      <c r="J1038" s="147">
        <v>189.6</v>
      </c>
      <c r="K1038" s="147">
        <v>198.65</v>
      </c>
      <c r="L1038" s="147">
        <v>189.39</v>
      </c>
      <c r="M1038" s="147">
        <v>192.82</v>
      </c>
      <c r="N1038" s="147">
        <v>266049</v>
      </c>
      <c r="O1038" s="147" t="s">
        <v>1068</v>
      </c>
      <c r="P1038" s="151">
        <f t="shared" si="36"/>
        <v>-1.6699512498703495E-2</v>
      </c>
    </row>
    <row r="1039" spans="2:16" ht="14.25" customHeight="1">
      <c r="B1039" s="243">
        <v>321.18762005815256</v>
      </c>
      <c r="C1039" s="243">
        <v>324.9642577407609</v>
      </c>
      <c r="D1039" s="243">
        <v>318.44185031441947</v>
      </c>
      <c r="E1039" s="243">
        <v>324.81974354372227</v>
      </c>
      <c r="F1039" s="243">
        <v>7504578.5965959374</v>
      </c>
      <c r="G1039" s="243" t="s">
        <v>1069</v>
      </c>
      <c r="H1039" s="151">
        <f t="shared" si="35"/>
        <v>-1.1181966483760908E-2</v>
      </c>
      <c r="J1039" s="147">
        <v>191.82</v>
      </c>
      <c r="K1039" s="147">
        <v>193.35</v>
      </c>
      <c r="L1039" s="147">
        <v>187.95</v>
      </c>
      <c r="M1039" s="147">
        <v>191</v>
      </c>
      <c r="N1039" s="147">
        <v>245309</v>
      </c>
      <c r="O1039" s="147" t="s">
        <v>1069</v>
      </c>
      <c r="P1039" s="151">
        <f t="shared" si="36"/>
        <v>4.2931937172774326E-3</v>
      </c>
    </row>
    <row r="1040" spans="2:16" ht="14.25" customHeight="1">
      <c r="B1040" s="243">
        <v>328.02795871797889</v>
      </c>
      <c r="C1040" s="243">
        <v>329.58871204599558</v>
      </c>
      <c r="D1040" s="243">
        <v>320.99493446210113</v>
      </c>
      <c r="E1040" s="243">
        <v>322.55568779011787</v>
      </c>
      <c r="F1040" s="243">
        <v>9013594.3505413942</v>
      </c>
      <c r="G1040" s="243" t="s">
        <v>1070</v>
      </c>
      <c r="H1040" s="151">
        <f t="shared" si="35"/>
        <v>1.6965352449223481E-2</v>
      </c>
      <c r="J1040" s="147">
        <v>193.23</v>
      </c>
      <c r="K1040" s="147">
        <v>194.21</v>
      </c>
      <c r="L1040" s="147">
        <v>184.9</v>
      </c>
      <c r="M1040" s="147">
        <v>184.9</v>
      </c>
      <c r="N1040" s="147">
        <v>269651</v>
      </c>
      <c r="O1040" s="147" t="s">
        <v>1070</v>
      </c>
      <c r="P1040" s="151">
        <f t="shared" si="36"/>
        <v>4.505137912385071E-2</v>
      </c>
    </row>
    <row r="1041" spans="2:16" ht="14.25" customHeight="1">
      <c r="B1041" s="243">
        <v>321.70864190987555</v>
      </c>
      <c r="C1041" s="243">
        <v>327.89553102499133</v>
      </c>
      <c r="D1041" s="243">
        <v>319.49287231981077</v>
      </c>
      <c r="E1041" s="243">
        <v>325.92915541476077</v>
      </c>
      <c r="F1041" s="243">
        <v>6042131.9752875771</v>
      </c>
      <c r="G1041" s="243" t="s">
        <v>1071</v>
      </c>
      <c r="H1041" s="151">
        <f t="shared" si="35"/>
        <v>-1.2949174490126225E-2</v>
      </c>
      <c r="J1041" s="147">
        <v>184.24</v>
      </c>
      <c r="K1041" s="147">
        <v>188.8</v>
      </c>
      <c r="L1041" s="147">
        <v>179.34</v>
      </c>
      <c r="M1041" s="147">
        <v>185.73</v>
      </c>
      <c r="N1041" s="147">
        <v>234515</v>
      </c>
      <c r="O1041" s="147" t="s">
        <v>1071</v>
      </c>
      <c r="P1041" s="151">
        <f t="shared" si="36"/>
        <v>-8.0223981047756743E-3</v>
      </c>
    </row>
    <row r="1042" spans="2:16" ht="14.25" customHeight="1">
      <c r="B1042" s="243">
        <v>322.61988914388485</v>
      </c>
      <c r="C1042" s="243">
        <v>327.72287365433698</v>
      </c>
      <c r="D1042" s="243">
        <v>321.40169547315662</v>
      </c>
      <c r="E1042" s="243">
        <v>324.432791535756</v>
      </c>
      <c r="F1042" s="243">
        <v>5635574.5272391634</v>
      </c>
      <c r="G1042" s="243" t="s">
        <v>1072</v>
      </c>
      <c r="H1042" s="151">
        <f t="shared" si="35"/>
        <v>-5.5879135499512511E-3</v>
      </c>
      <c r="J1042" s="147">
        <v>182.52</v>
      </c>
      <c r="K1042" s="147">
        <v>186.33</v>
      </c>
      <c r="L1042" s="147">
        <v>181.09</v>
      </c>
      <c r="M1042" s="147">
        <v>183.44</v>
      </c>
      <c r="N1042" s="147">
        <v>259989</v>
      </c>
      <c r="O1042" s="147" t="s">
        <v>1072</v>
      </c>
      <c r="P1042" s="151">
        <f t="shared" si="36"/>
        <v>-5.0152638464892041E-3</v>
      </c>
    </row>
    <row r="1043" spans="2:16" ht="14.25" customHeight="1">
      <c r="B1043" s="243">
        <v>325.77568219640131</v>
      </c>
      <c r="C1043" s="243">
        <v>328.12574085253056</v>
      </c>
      <c r="D1043" s="243">
        <v>321.63190530069579</v>
      </c>
      <c r="E1043" s="243">
        <v>328.12574085253056</v>
      </c>
      <c r="F1043" s="243">
        <v>10937664.420826318</v>
      </c>
      <c r="G1043" s="243" t="s">
        <v>1073</v>
      </c>
      <c r="H1043" s="151">
        <f t="shared" si="35"/>
        <v>-7.1620673526660017E-3</v>
      </c>
      <c r="J1043" s="147">
        <v>184.94</v>
      </c>
      <c r="K1043" s="147">
        <v>186.2</v>
      </c>
      <c r="L1043" s="147">
        <v>177.12</v>
      </c>
      <c r="M1043" s="147">
        <v>179.2</v>
      </c>
      <c r="N1043" s="147">
        <v>448413</v>
      </c>
      <c r="O1043" s="147" t="s">
        <v>1073</v>
      </c>
      <c r="P1043" s="151">
        <f t="shared" si="36"/>
        <v>3.2031249999999956E-2</v>
      </c>
    </row>
    <row r="1044" spans="2:16" ht="14.25" customHeight="1">
      <c r="B1044" s="243">
        <v>331.28153390504701</v>
      </c>
      <c r="C1044" s="243">
        <v>334.32222204379389</v>
      </c>
      <c r="D1044" s="243">
        <v>330.61008857472439</v>
      </c>
      <c r="E1044" s="243">
        <v>333.37260650519471</v>
      </c>
      <c r="F1044" s="243">
        <v>5791886.8809933634</v>
      </c>
      <c r="G1044" s="243" t="s">
        <v>1074</v>
      </c>
      <c r="H1044" s="151">
        <f t="shared" si="35"/>
        <v>-6.2724787800316761E-3</v>
      </c>
      <c r="J1044" s="147">
        <v>180.39</v>
      </c>
      <c r="K1044" s="147">
        <v>185.23</v>
      </c>
      <c r="L1044" s="147">
        <v>179.92500000000001</v>
      </c>
      <c r="M1044" s="147">
        <v>185.23</v>
      </c>
      <c r="N1044" s="147">
        <v>218219</v>
      </c>
      <c r="O1044" s="147" t="s">
        <v>1074</v>
      </c>
      <c r="P1044" s="151">
        <f t="shared" si="36"/>
        <v>-2.612967661825838E-2</v>
      </c>
    </row>
    <row r="1045" spans="2:16" ht="14.25" customHeight="1">
      <c r="B1045" s="243">
        <v>334.1016042924021</v>
      </c>
      <c r="C1045" s="243">
        <v>344.64329597846773</v>
      </c>
      <c r="D1045" s="243">
        <v>334.1016042924021</v>
      </c>
      <c r="E1045" s="243">
        <v>341.84240974340753</v>
      </c>
      <c r="F1045" s="243">
        <v>5319392.7170268791</v>
      </c>
      <c r="G1045" s="243" t="s">
        <v>1075</v>
      </c>
      <c r="H1045" s="151">
        <f t="shared" si="35"/>
        <v>-2.2644368370840273E-2</v>
      </c>
      <c r="J1045" s="147">
        <v>186.02</v>
      </c>
      <c r="K1045" s="147">
        <v>193.38</v>
      </c>
      <c r="L1045" s="147">
        <v>186.01</v>
      </c>
      <c r="M1045" s="147">
        <v>193.38</v>
      </c>
      <c r="N1045" s="147">
        <v>205900</v>
      </c>
      <c r="O1045" s="147" t="s">
        <v>1075</v>
      </c>
      <c r="P1045" s="151">
        <f t="shared" si="36"/>
        <v>-3.8059778674113032E-2</v>
      </c>
    </row>
    <row r="1046" spans="2:16" ht="14.25" customHeight="1">
      <c r="B1046" s="243">
        <v>340.08705980842115</v>
      </c>
      <c r="C1046" s="243">
        <v>341.84240974340753</v>
      </c>
      <c r="D1046" s="243">
        <v>337.48108456067746</v>
      </c>
      <c r="E1046" s="243">
        <v>340.88320212866086</v>
      </c>
      <c r="F1046" s="243">
        <v>3778078.8478803043</v>
      </c>
      <c r="G1046" s="243" t="s">
        <v>1076</v>
      </c>
      <c r="H1046" s="151">
        <f t="shared" si="35"/>
        <v>-2.3355281670324191E-3</v>
      </c>
      <c r="J1046" s="147">
        <v>191.95</v>
      </c>
      <c r="K1046" s="147">
        <v>195.22</v>
      </c>
      <c r="L1046" s="147">
        <v>189.13</v>
      </c>
      <c r="M1046" s="147">
        <v>192.91</v>
      </c>
      <c r="N1046" s="147">
        <v>220681</v>
      </c>
      <c r="O1046" s="147" t="s">
        <v>1076</v>
      </c>
      <c r="P1046" s="151">
        <f t="shared" si="36"/>
        <v>-4.9764138717537376E-3</v>
      </c>
    </row>
    <row r="1047" spans="2:16" ht="14.25" customHeight="1">
      <c r="B1047" s="243">
        <v>343.96225857199755</v>
      </c>
      <c r="C1047" s="243">
        <v>343.96225857199755</v>
      </c>
      <c r="D1047" s="243">
        <v>338.3604861018772</v>
      </c>
      <c r="E1047" s="243">
        <v>338.40844648261452</v>
      </c>
      <c r="F1047" s="243">
        <v>3557775.1339071663</v>
      </c>
      <c r="G1047" s="243" t="s">
        <v>1077</v>
      </c>
      <c r="H1047" s="151">
        <f t="shared" si="35"/>
        <v>1.641156462585025E-2</v>
      </c>
      <c r="J1047" s="147">
        <v>194.45</v>
      </c>
      <c r="K1047" s="147">
        <v>195.34</v>
      </c>
      <c r="L1047" s="147">
        <v>188.13499999999999</v>
      </c>
      <c r="M1047" s="147">
        <v>193.82</v>
      </c>
      <c r="N1047" s="147">
        <v>259234</v>
      </c>
      <c r="O1047" s="147" t="s">
        <v>1077</v>
      </c>
      <c r="P1047" s="151">
        <f t="shared" si="36"/>
        <v>3.2504385512330813E-3</v>
      </c>
    </row>
    <row r="1048" spans="2:16" ht="14.25" customHeight="1">
      <c r="B1048" s="243">
        <v>341.34362178373925</v>
      </c>
      <c r="C1048" s="243">
        <v>341.93833050488217</v>
      </c>
      <c r="D1048" s="243">
        <v>338.30293364499238</v>
      </c>
      <c r="E1048" s="243">
        <v>340.09665188456864</v>
      </c>
      <c r="F1048" s="243">
        <v>4641610.3579161009</v>
      </c>
      <c r="G1048" s="243" t="s">
        <v>1078</v>
      </c>
      <c r="H1048" s="151">
        <f t="shared" si="35"/>
        <v>3.6665162454871947E-3</v>
      </c>
      <c r="J1048" s="147">
        <v>195.55</v>
      </c>
      <c r="K1048" s="147">
        <v>198.85</v>
      </c>
      <c r="L1048" s="147">
        <v>194.02</v>
      </c>
      <c r="M1048" s="147">
        <v>198.85</v>
      </c>
      <c r="N1048" s="147">
        <v>651465</v>
      </c>
      <c r="O1048" s="147" t="s">
        <v>1078</v>
      </c>
      <c r="P1048" s="151">
        <f t="shared" si="36"/>
        <v>-1.6595423686195487E-2</v>
      </c>
    </row>
    <row r="1049" spans="2:16" ht="14.25" customHeight="1">
      <c r="B1049" s="243">
        <v>344.04858725732481</v>
      </c>
      <c r="C1049" s="243">
        <v>349.1227955393345</v>
      </c>
      <c r="D1049" s="243">
        <v>342.82080151044909</v>
      </c>
      <c r="E1049" s="243">
        <v>346.42742214189644</v>
      </c>
      <c r="F1049" s="243">
        <v>3969380.4985124967</v>
      </c>
      <c r="G1049" s="243" t="s">
        <v>1079</v>
      </c>
      <c r="H1049" s="151">
        <f t="shared" si="35"/>
        <v>-6.8667626536713655E-3</v>
      </c>
      <c r="J1049" s="147">
        <v>202.64</v>
      </c>
      <c r="K1049" s="147">
        <v>205.24</v>
      </c>
      <c r="L1049" s="147">
        <v>198.15</v>
      </c>
      <c r="M1049" s="147">
        <v>198.15</v>
      </c>
      <c r="N1049" s="147">
        <v>219604</v>
      </c>
      <c r="O1049" s="147" t="s">
        <v>1079</v>
      </c>
      <c r="P1049" s="151">
        <f t="shared" si="36"/>
        <v>2.2659601312137179E-2</v>
      </c>
    </row>
    <row r="1050" spans="2:16" ht="14.25" customHeight="1">
      <c r="B1050" s="243">
        <v>347.93337809704872</v>
      </c>
      <c r="C1050" s="243">
        <v>349.31463706228385</v>
      </c>
      <c r="D1050" s="243">
        <v>344.86391372985941</v>
      </c>
      <c r="E1050" s="243">
        <v>347.78949695483664</v>
      </c>
      <c r="F1050" s="243">
        <v>3706715.7780426233</v>
      </c>
      <c r="G1050" s="243" t="s">
        <v>1080</v>
      </c>
      <c r="H1050" s="151">
        <f t="shared" si="35"/>
        <v>4.1370180374000753E-4</v>
      </c>
      <c r="J1050" s="147">
        <v>200.24</v>
      </c>
      <c r="K1050" s="147">
        <v>202.43</v>
      </c>
      <c r="L1050" s="147">
        <v>196.6474</v>
      </c>
      <c r="M1050" s="147">
        <v>198.61</v>
      </c>
      <c r="N1050" s="147">
        <v>230325</v>
      </c>
      <c r="O1050" s="147" t="s">
        <v>1080</v>
      </c>
      <c r="P1050" s="151">
        <f t="shared" si="36"/>
        <v>8.2070389204973448E-3</v>
      </c>
    </row>
    <row r="1051" spans="2:16" ht="14.25" customHeight="1">
      <c r="B1051" s="243">
        <v>346.63844781714073</v>
      </c>
      <c r="C1051" s="243">
        <v>355.41519749207242</v>
      </c>
      <c r="D1051" s="243">
        <v>345.58341536168086</v>
      </c>
      <c r="E1051" s="243">
        <v>354.27374043052396</v>
      </c>
      <c r="F1051" s="243">
        <v>5785164.6658015018</v>
      </c>
      <c r="G1051" s="243" t="s">
        <v>1081</v>
      </c>
      <c r="H1051" s="151">
        <f t="shared" si="35"/>
        <v>-2.1551957545892564E-2</v>
      </c>
      <c r="J1051" s="147">
        <v>199.65</v>
      </c>
      <c r="K1051" s="147">
        <v>203.13499999999999</v>
      </c>
      <c r="L1051" s="147">
        <v>194.45</v>
      </c>
      <c r="M1051" s="147">
        <v>198.02</v>
      </c>
      <c r="N1051" s="147">
        <v>362791</v>
      </c>
      <c r="O1051" s="147" t="s">
        <v>1081</v>
      </c>
      <c r="P1051" s="151">
        <f t="shared" si="36"/>
        <v>8.2314917685082367E-3</v>
      </c>
    </row>
    <row r="1052" spans="2:16" ht="14.25" customHeight="1">
      <c r="B1052" s="243">
        <v>362.44618930816534</v>
      </c>
      <c r="C1052" s="243">
        <v>363.06967425775065</v>
      </c>
      <c r="D1052" s="243">
        <v>360.19205141351074</v>
      </c>
      <c r="E1052" s="243">
        <v>360.48940577408217</v>
      </c>
      <c r="F1052" s="243">
        <v>3087292.0048515219</v>
      </c>
      <c r="G1052" s="243" t="s">
        <v>1082</v>
      </c>
      <c r="H1052" s="151">
        <f t="shared" si="35"/>
        <v>5.4281304879997272E-3</v>
      </c>
      <c r="J1052" s="147">
        <v>200.86</v>
      </c>
      <c r="K1052" s="147">
        <v>205.88</v>
      </c>
      <c r="L1052" s="147">
        <v>199.05</v>
      </c>
      <c r="M1052" s="147">
        <v>204.48</v>
      </c>
      <c r="N1052" s="147">
        <v>401154</v>
      </c>
      <c r="O1052" s="147" t="s">
        <v>1082</v>
      </c>
      <c r="P1052" s="151">
        <f t="shared" si="36"/>
        <v>-1.7703442879499098E-2</v>
      </c>
    </row>
    <row r="1053" spans="2:16" ht="14.25" customHeight="1">
      <c r="B1053" s="243">
        <v>358.50384601155662</v>
      </c>
      <c r="C1053" s="243">
        <v>359.32876456023877</v>
      </c>
      <c r="D1053" s="243">
        <v>354.88763330396182</v>
      </c>
      <c r="E1053" s="243">
        <v>355.13702728379593</v>
      </c>
      <c r="F1053" s="243">
        <v>2733048.5701913922</v>
      </c>
      <c r="G1053" s="243" t="s">
        <v>1083</v>
      </c>
      <c r="H1053" s="151">
        <f t="shared" si="35"/>
        <v>9.4803370786515906E-3</v>
      </c>
      <c r="J1053" s="147">
        <v>205.88</v>
      </c>
      <c r="K1053" s="147">
        <v>211.48</v>
      </c>
      <c r="L1053" s="147">
        <v>200.01</v>
      </c>
      <c r="M1053" s="147">
        <v>200.41</v>
      </c>
      <c r="N1053" s="147">
        <v>824166</v>
      </c>
      <c r="O1053" s="147" t="s">
        <v>1083</v>
      </c>
      <c r="P1053" s="151">
        <f t="shared" si="36"/>
        <v>2.7294047203233474E-2</v>
      </c>
    </row>
    <row r="1054" spans="2:16" ht="14.25" customHeight="1">
      <c r="B1054" s="243">
        <v>353.05554675979573</v>
      </c>
      <c r="C1054" s="243">
        <v>353.44882188184187</v>
      </c>
      <c r="D1054" s="243">
        <v>347.4921425942652</v>
      </c>
      <c r="E1054" s="243">
        <v>348.55206700856024</v>
      </c>
      <c r="F1054" s="243">
        <v>3849048.8849749132</v>
      </c>
      <c r="G1054" s="243" t="s">
        <v>1084</v>
      </c>
      <c r="H1054" s="151">
        <f t="shared" si="35"/>
        <v>1.2920536635707025E-2</v>
      </c>
      <c r="J1054" s="147">
        <v>197.49</v>
      </c>
      <c r="K1054" s="147">
        <v>203.26</v>
      </c>
      <c r="L1054" s="147">
        <v>183</v>
      </c>
      <c r="M1054" s="147">
        <v>183.99</v>
      </c>
      <c r="N1054" s="147">
        <v>1069015</v>
      </c>
      <c r="O1054" s="147" t="s">
        <v>1084</v>
      </c>
      <c r="P1054" s="151">
        <f t="shared" si="36"/>
        <v>7.3373552910484197E-2</v>
      </c>
    </row>
    <row r="1055" spans="2:16" ht="14.25" customHeight="1">
      <c r="B1055" s="243">
        <v>350.76304056055125</v>
      </c>
      <c r="C1055" s="243">
        <v>351.42968985280015</v>
      </c>
      <c r="D1055" s="243">
        <v>344.05856301651818</v>
      </c>
      <c r="E1055" s="243">
        <v>344.22124462797916</v>
      </c>
      <c r="F1055" s="243">
        <v>4312883.8182677617</v>
      </c>
      <c r="G1055" s="243" t="s">
        <v>1085</v>
      </c>
      <c r="H1055" s="151">
        <f t="shared" si="35"/>
        <v>1.9004625759349025E-2</v>
      </c>
      <c r="J1055" s="147">
        <v>185.9</v>
      </c>
      <c r="K1055" s="147">
        <v>188.43</v>
      </c>
      <c r="L1055" s="147">
        <v>162.86500000000001</v>
      </c>
      <c r="M1055" s="147">
        <v>164.28</v>
      </c>
      <c r="N1055" s="147">
        <v>834292</v>
      </c>
      <c r="O1055" s="147" t="s">
        <v>1085</v>
      </c>
      <c r="P1055" s="151">
        <f t="shared" si="36"/>
        <v>0.13160457755052346</v>
      </c>
    </row>
    <row r="1056" spans="2:16" ht="14.25" customHeight="1">
      <c r="B1056" s="243">
        <v>344.58574352158291</v>
      </c>
      <c r="C1056" s="243">
        <v>347.50173467041265</v>
      </c>
      <c r="D1056" s="243">
        <v>342.43711846455045</v>
      </c>
      <c r="E1056" s="243">
        <v>346.61926366484579</v>
      </c>
      <c r="F1056" s="243">
        <v>5921880.6363420794</v>
      </c>
      <c r="G1056" s="243" t="s">
        <v>1086</v>
      </c>
      <c r="H1056" s="151">
        <f t="shared" si="35"/>
        <v>-5.8667257029001441E-3</v>
      </c>
      <c r="J1056" s="147">
        <v>164.25</v>
      </c>
      <c r="K1056" s="147">
        <v>167.41</v>
      </c>
      <c r="L1056" s="147">
        <v>162.38</v>
      </c>
      <c r="M1056" s="147">
        <v>166.08</v>
      </c>
      <c r="N1056" s="147">
        <v>295703</v>
      </c>
      <c r="O1056" s="147" t="s">
        <v>1086</v>
      </c>
      <c r="P1056" s="151">
        <f t="shared" si="36"/>
        <v>-1.1018786127167668E-2</v>
      </c>
    </row>
    <row r="1057" spans="2:16" ht="14.25" customHeight="1">
      <c r="B1057" s="243">
        <v>345.74638473542632</v>
      </c>
      <c r="C1057" s="243">
        <v>354.07230683142717</v>
      </c>
      <c r="D1057" s="243">
        <v>344.1445080187994</v>
      </c>
      <c r="E1057" s="243">
        <v>352.94044184602615</v>
      </c>
      <c r="F1057" s="243">
        <v>4737475.9438292067</v>
      </c>
      <c r="G1057" s="243" t="s">
        <v>1087</v>
      </c>
      <c r="H1057" s="151">
        <f t="shared" si="35"/>
        <v>-2.0383204239706521E-2</v>
      </c>
      <c r="J1057" s="147">
        <v>165.03</v>
      </c>
      <c r="K1057" s="147">
        <v>170.26</v>
      </c>
      <c r="L1057" s="147">
        <v>163.52000000000001</v>
      </c>
      <c r="M1057" s="147">
        <v>167.67</v>
      </c>
      <c r="N1057" s="147">
        <v>388898</v>
      </c>
      <c r="O1057" s="147" t="s">
        <v>1087</v>
      </c>
      <c r="P1057" s="151">
        <f t="shared" si="36"/>
        <v>-1.5745213812846548E-2</v>
      </c>
    </row>
    <row r="1058" spans="2:16" ht="14.25" customHeight="1">
      <c r="B1058" s="243">
        <v>349.4105578237585</v>
      </c>
      <c r="C1058" s="243">
        <v>349.82301709809957</v>
      </c>
      <c r="D1058" s="243">
        <v>343.88552196281785</v>
      </c>
      <c r="E1058" s="243">
        <v>346.36986968501168</v>
      </c>
      <c r="F1058" s="243">
        <v>6387395.0809057234</v>
      </c>
      <c r="G1058" s="243" t="s">
        <v>1088</v>
      </c>
      <c r="H1058" s="151">
        <f t="shared" si="35"/>
        <v>8.7787316532814685E-3</v>
      </c>
      <c r="J1058" s="147">
        <v>166.26</v>
      </c>
      <c r="K1058" s="147">
        <v>166.77</v>
      </c>
      <c r="L1058" s="147">
        <v>159.155</v>
      </c>
      <c r="M1058" s="147">
        <v>162.16999999999999</v>
      </c>
      <c r="N1058" s="147">
        <v>435894</v>
      </c>
      <c r="O1058" s="147" t="s">
        <v>1088</v>
      </c>
      <c r="P1058" s="151">
        <f t="shared" si="36"/>
        <v>2.5220447678362179E-2</v>
      </c>
    </row>
    <row r="1059" spans="2:16" ht="14.25" customHeight="1">
      <c r="B1059" s="243">
        <v>348.33624529524224</v>
      </c>
      <c r="C1059" s="243">
        <v>353.74617624241336</v>
      </c>
      <c r="D1059" s="243">
        <v>348.29787699065241</v>
      </c>
      <c r="E1059" s="243">
        <v>352.61431125701228</v>
      </c>
      <c r="F1059" s="243">
        <v>4235307.2864971552</v>
      </c>
      <c r="G1059" s="243" t="s">
        <v>1089</v>
      </c>
      <c r="H1059" s="151">
        <f t="shared" si="35"/>
        <v>-1.2132422948233246E-2</v>
      </c>
      <c r="J1059" s="147">
        <v>164.17</v>
      </c>
      <c r="K1059" s="147">
        <v>168.25370000000001</v>
      </c>
      <c r="L1059" s="147">
        <v>161.56</v>
      </c>
      <c r="M1059" s="147">
        <v>164.46</v>
      </c>
      <c r="N1059" s="147">
        <v>338422</v>
      </c>
      <c r="O1059" s="147" t="s">
        <v>1089</v>
      </c>
      <c r="P1059" s="151">
        <f t="shared" si="36"/>
        <v>-1.7633467104464229E-3</v>
      </c>
    </row>
    <row r="1060" spans="2:16" ht="14.25" customHeight="1">
      <c r="B1060" s="243">
        <v>351.09876322571256</v>
      </c>
      <c r="C1060" s="243">
        <v>356.29287245956561</v>
      </c>
      <c r="D1060" s="243">
        <v>349.17075592007183</v>
      </c>
      <c r="E1060" s="243">
        <v>356.15378735542737</v>
      </c>
      <c r="F1060" s="243">
        <v>5259065.8398103286</v>
      </c>
      <c r="G1060" s="243" t="s">
        <v>1090</v>
      </c>
      <c r="H1060" s="151">
        <f t="shared" si="35"/>
        <v>-1.4193374629679512E-2</v>
      </c>
      <c r="J1060" s="147">
        <v>161.76</v>
      </c>
      <c r="K1060" s="147">
        <v>165.06</v>
      </c>
      <c r="L1060" s="147">
        <v>159.24680000000001</v>
      </c>
      <c r="M1060" s="147">
        <v>163.47999999999999</v>
      </c>
      <c r="N1060" s="147">
        <v>258562</v>
      </c>
      <c r="O1060" s="147" t="s">
        <v>1090</v>
      </c>
      <c r="P1060" s="151">
        <f t="shared" si="36"/>
        <v>-1.0521164668460981E-2</v>
      </c>
    </row>
    <row r="1061" spans="2:16" ht="14.25" customHeight="1">
      <c r="B1061" s="243">
        <v>354.95477783699408</v>
      </c>
      <c r="C1061" s="243">
        <v>357.83240068123399</v>
      </c>
      <c r="D1061" s="243">
        <v>353.7365841662658</v>
      </c>
      <c r="E1061" s="243">
        <v>354.68619970486498</v>
      </c>
      <c r="F1061" s="243">
        <v>5163802.8346014554</v>
      </c>
      <c r="G1061" s="243" t="s">
        <v>1091</v>
      </c>
      <c r="H1061" s="151">
        <f t="shared" si="35"/>
        <v>7.5722746572215449E-4</v>
      </c>
      <c r="J1061" s="147">
        <v>161.88</v>
      </c>
      <c r="K1061" s="147">
        <v>164.51499999999999</v>
      </c>
      <c r="L1061" s="147">
        <v>160.47</v>
      </c>
      <c r="M1061" s="147">
        <v>163.34</v>
      </c>
      <c r="N1061" s="147">
        <v>263596</v>
      </c>
      <c r="O1061" s="147" t="s">
        <v>1091</v>
      </c>
      <c r="P1061" s="151">
        <f t="shared" si="36"/>
        <v>-8.938410677115316E-3</v>
      </c>
    </row>
    <row r="1062" spans="2:16" ht="14.25" customHeight="1">
      <c r="B1062" s="243">
        <v>357.31442856927077</v>
      </c>
      <c r="C1062" s="243">
        <v>370.3020996729403</v>
      </c>
      <c r="D1062" s="243">
        <v>357.31442856927077</v>
      </c>
      <c r="E1062" s="243">
        <v>369.82249586556702</v>
      </c>
      <c r="F1062" s="243">
        <v>5372309.3111193962</v>
      </c>
      <c r="G1062" s="243" t="s">
        <v>1092</v>
      </c>
      <c r="H1062" s="151">
        <f t="shared" si="35"/>
        <v>-3.3821812994423772E-2</v>
      </c>
      <c r="J1062" s="147">
        <v>165.87</v>
      </c>
      <c r="K1062" s="147">
        <v>170.78</v>
      </c>
      <c r="L1062" s="147">
        <v>164.04</v>
      </c>
      <c r="M1062" s="147">
        <v>168.91</v>
      </c>
      <c r="N1062" s="147">
        <v>473643</v>
      </c>
      <c r="O1062" s="147" t="s">
        <v>1092</v>
      </c>
      <c r="P1062" s="151">
        <f t="shared" si="36"/>
        <v>-1.7997750281214753E-2</v>
      </c>
    </row>
    <row r="1063" spans="2:16" ht="14.25" customHeight="1">
      <c r="B1063" s="243">
        <v>369.99515323622143</v>
      </c>
      <c r="C1063" s="243">
        <v>369.99515323622143</v>
      </c>
      <c r="D1063" s="243">
        <v>365.17033893404579</v>
      </c>
      <c r="E1063" s="243">
        <v>366.18709900567723</v>
      </c>
      <c r="F1063" s="243">
        <v>2743191.3170278734</v>
      </c>
      <c r="G1063" s="243" t="s">
        <v>1093</v>
      </c>
      <c r="H1063" s="151">
        <f t="shared" si="35"/>
        <v>1.0399203688181258E-2</v>
      </c>
      <c r="J1063" s="147">
        <v>169.08</v>
      </c>
      <c r="K1063" s="147">
        <v>169.18</v>
      </c>
      <c r="L1063" s="147">
        <v>161.54</v>
      </c>
      <c r="M1063" s="147">
        <v>162.85</v>
      </c>
      <c r="N1063" s="147">
        <v>232488</v>
      </c>
      <c r="O1063" s="147" t="s">
        <v>1093</v>
      </c>
      <c r="P1063" s="151">
        <f t="shared" si="36"/>
        <v>3.8256063862450285E-2</v>
      </c>
    </row>
    <row r="1064" spans="2:16" ht="14.25" customHeight="1">
      <c r="B1064" s="243">
        <v>364.68114305052501</v>
      </c>
      <c r="C1064" s="243">
        <v>366.01444163502282</v>
      </c>
      <c r="D1064" s="243">
        <v>362.75313574488428</v>
      </c>
      <c r="E1064" s="243">
        <v>363.44376522750184</v>
      </c>
      <c r="F1064" s="243">
        <v>2336558.807023223</v>
      </c>
      <c r="G1064" s="243" t="s">
        <v>1094</v>
      </c>
      <c r="H1064" s="151">
        <f t="shared" si="35"/>
        <v>3.4045922406966689E-3</v>
      </c>
      <c r="J1064" s="147">
        <v>161.22</v>
      </c>
      <c r="K1064" s="147">
        <v>162.53</v>
      </c>
      <c r="L1064" s="147">
        <v>158.59</v>
      </c>
      <c r="M1064" s="147">
        <v>158.59</v>
      </c>
      <c r="N1064" s="147">
        <v>238661</v>
      </c>
      <c r="O1064" s="147" t="s">
        <v>1094</v>
      </c>
      <c r="P1064" s="151">
        <f t="shared" si="36"/>
        <v>1.6583643357084288E-2</v>
      </c>
    </row>
    <row r="1065" spans="2:16" ht="14.25" customHeight="1">
      <c r="B1065" s="243">
        <v>363.57805429356637</v>
      </c>
      <c r="C1065" s="243">
        <v>366.29261184329937</v>
      </c>
      <c r="D1065" s="243">
        <v>363.08243171902677</v>
      </c>
      <c r="E1065" s="243">
        <v>364.07684225323464</v>
      </c>
      <c r="F1065" s="243">
        <v>2991202.2755968752</v>
      </c>
      <c r="G1065" s="243" t="s">
        <v>1095</v>
      </c>
      <c r="H1065" s="151">
        <f t="shared" si="35"/>
        <v>-1.3700073769629117E-3</v>
      </c>
      <c r="J1065" s="147">
        <v>157.36000000000001</v>
      </c>
      <c r="K1065" s="147">
        <v>157.82</v>
      </c>
      <c r="L1065" s="147">
        <v>153.93</v>
      </c>
      <c r="M1065" s="147">
        <v>157.79</v>
      </c>
      <c r="N1065" s="147">
        <v>192147</v>
      </c>
      <c r="O1065" s="147" t="s">
        <v>1095</v>
      </c>
      <c r="P1065" s="151">
        <f t="shared" si="36"/>
        <v>-2.7251410102032692E-3</v>
      </c>
    </row>
    <row r="1066" spans="2:16" ht="14.25" customHeight="1">
      <c r="B1066" s="243">
        <v>364.44134114683834</v>
      </c>
      <c r="C1066" s="243">
        <v>367.89448855992629</v>
      </c>
      <c r="D1066" s="243">
        <v>363.62601467430369</v>
      </c>
      <c r="E1066" s="243">
        <v>367.78897572230414</v>
      </c>
      <c r="F1066" s="243">
        <v>4330363.8713263776</v>
      </c>
      <c r="G1066" s="243" t="s">
        <v>1096</v>
      </c>
      <c r="H1066" s="151">
        <f t="shared" si="35"/>
        <v>-9.1020525258848073E-3</v>
      </c>
      <c r="J1066" s="147">
        <v>157.33000000000001</v>
      </c>
      <c r="K1066" s="147">
        <v>161</v>
      </c>
      <c r="L1066" s="147">
        <v>155.99</v>
      </c>
      <c r="M1066" s="147">
        <v>159.53</v>
      </c>
      <c r="N1066" s="147">
        <v>186791</v>
      </c>
      <c r="O1066" s="147" t="s">
        <v>1096</v>
      </c>
      <c r="P1066" s="151">
        <f t="shared" si="36"/>
        <v>-1.3790509622014557E-2</v>
      </c>
    </row>
    <row r="1067" spans="2:16" ht="14.25" customHeight="1">
      <c r="B1067" s="243">
        <v>372.28765943546586</v>
      </c>
      <c r="C1067" s="243">
        <v>375.00221698519886</v>
      </c>
      <c r="D1067" s="243">
        <v>371.45314881063626</v>
      </c>
      <c r="E1067" s="243">
        <v>374.76241508151219</v>
      </c>
      <c r="F1067" s="243">
        <v>3022317.5415113182</v>
      </c>
      <c r="G1067" s="243" t="s">
        <v>1097</v>
      </c>
      <c r="H1067" s="151">
        <f t="shared" si="35"/>
        <v>-6.6035321218326226E-3</v>
      </c>
      <c r="J1067" s="147">
        <v>162.47</v>
      </c>
      <c r="K1067" s="147">
        <v>165.99</v>
      </c>
      <c r="L1067" s="147">
        <v>160.61000000000001</v>
      </c>
      <c r="M1067" s="147">
        <v>165.95</v>
      </c>
      <c r="N1067" s="147">
        <v>240110</v>
      </c>
      <c r="O1067" s="147" t="s">
        <v>1097</v>
      </c>
      <c r="P1067" s="151">
        <f t="shared" si="36"/>
        <v>-2.0970171738475374E-2</v>
      </c>
    </row>
    <row r="1068" spans="2:16" ht="14.25" customHeight="1">
      <c r="B1068" s="243">
        <v>377.49615678354013</v>
      </c>
      <c r="C1068" s="243">
        <v>377.94698436247103</v>
      </c>
      <c r="D1068" s="243">
        <v>375.21324266044314</v>
      </c>
      <c r="E1068" s="243">
        <v>376.41225217887643</v>
      </c>
      <c r="F1068" s="243">
        <v>3396637.9644104186</v>
      </c>
      <c r="G1068" s="243" t="s">
        <v>1098</v>
      </c>
      <c r="H1068" s="151">
        <f t="shared" si="35"/>
        <v>2.8795678099995392E-3</v>
      </c>
      <c r="J1068" s="147">
        <v>167.19</v>
      </c>
      <c r="K1068" s="147">
        <v>168.21</v>
      </c>
      <c r="L1068" s="147">
        <v>165</v>
      </c>
      <c r="M1068" s="147">
        <v>168.21</v>
      </c>
      <c r="N1068" s="147">
        <v>165915</v>
      </c>
      <c r="O1068" s="147" t="s">
        <v>1098</v>
      </c>
      <c r="P1068" s="151">
        <f t="shared" si="36"/>
        <v>-6.0638487604780522E-3</v>
      </c>
    </row>
    <row r="1069" spans="2:16" ht="14.25" customHeight="1">
      <c r="B1069" s="243">
        <v>376.33551556969667</v>
      </c>
      <c r="C1069" s="243">
        <v>378.74312668271074</v>
      </c>
      <c r="D1069" s="243">
        <v>374.37211350307177</v>
      </c>
      <c r="E1069" s="243">
        <v>375.58733363019428</v>
      </c>
      <c r="F1069" s="243">
        <v>3359361.362921549</v>
      </c>
      <c r="G1069" s="243" t="s">
        <v>1099</v>
      </c>
      <c r="H1069" s="151">
        <f t="shared" si="35"/>
        <v>1.9920318725099584E-3</v>
      </c>
      <c r="J1069" s="147">
        <v>168.2</v>
      </c>
      <c r="K1069" s="147">
        <v>169.6</v>
      </c>
      <c r="L1069" s="147">
        <v>165.01</v>
      </c>
      <c r="M1069" s="147">
        <v>168.05</v>
      </c>
      <c r="N1069" s="147">
        <v>217726</v>
      </c>
      <c r="O1069" s="147" t="s">
        <v>1099</v>
      </c>
      <c r="P1069" s="151">
        <f t="shared" si="36"/>
        <v>8.9259149062770327E-4</v>
      </c>
    </row>
    <row r="1070" spans="2:16" ht="14.25" customHeight="1">
      <c r="B1070" s="243">
        <v>378.92537612951264</v>
      </c>
      <c r="C1070" s="243">
        <v>380.69991021679385</v>
      </c>
      <c r="D1070" s="243">
        <v>376.43143633117131</v>
      </c>
      <c r="E1070" s="243">
        <v>377.19880242296864</v>
      </c>
      <c r="F1070" s="243">
        <v>4029210.0902689784</v>
      </c>
      <c r="G1070" s="243" t="s">
        <v>1100</v>
      </c>
      <c r="H1070" s="151">
        <f t="shared" si="35"/>
        <v>4.5773573390297528E-3</v>
      </c>
      <c r="J1070" s="147">
        <v>169.72</v>
      </c>
      <c r="K1070" s="147">
        <v>172.73</v>
      </c>
      <c r="L1070" s="147">
        <v>167.73</v>
      </c>
      <c r="M1070" s="147">
        <v>172.55</v>
      </c>
      <c r="N1070" s="147">
        <v>251434</v>
      </c>
      <c r="O1070" s="147" t="s">
        <v>1100</v>
      </c>
      <c r="P1070" s="151">
        <f t="shared" si="36"/>
        <v>-1.6401043175891084E-2</v>
      </c>
    </row>
    <row r="1071" spans="2:16" ht="14.25" customHeight="1">
      <c r="B1071" s="243">
        <v>378.26352287533746</v>
      </c>
      <c r="C1071" s="243">
        <v>378.65679799738353</v>
      </c>
      <c r="D1071" s="243">
        <v>374.53220525397296</v>
      </c>
      <c r="E1071" s="243">
        <v>374.5609814824154</v>
      </c>
      <c r="F1071" s="243">
        <v>3340187.2032117578</v>
      </c>
      <c r="G1071" s="243" t="s">
        <v>1101</v>
      </c>
      <c r="H1071" s="151">
        <f t="shared" si="35"/>
        <v>9.8850162616201942E-3</v>
      </c>
      <c r="J1071" s="147">
        <v>174.69</v>
      </c>
      <c r="K1071" s="147">
        <v>175.21</v>
      </c>
      <c r="L1071" s="147">
        <v>170.51</v>
      </c>
      <c r="M1071" s="147">
        <v>171.29</v>
      </c>
      <c r="N1071" s="147">
        <v>173698</v>
      </c>
      <c r="O1071" s="147" t="s">
        <v>1101</v>
      </c>
      <c r="P1071" s="151">
        <f t="shared" si="36"/>
        <v>1.9849378247416727E-2</v>
      </c>
    </row>
    <row r="1072" spans="2:16" ht="14.25" customHeight="1">
      <c r="B1072" s="243">
        <v>376.6520540825631</v>
      </c>
      <c r="C1072" s="243">
        <v>376.70001446330042</v>
      </c>
      <c r="D1072" s="243">
        <v>371.2996755922768</v>
      </c>
      <c r="E1072" s="243">
        <v>372.12459414095889</v>
      </c>
      <c r="F1072" s="243">
        <v>3820191.7329105902</v>
      </c>
      <c r="G1072" s="243" t="s">
        <v>1102</v>
      </c>
      <c r="H1072" s="151">
        <f t="shared" si="35"/>
        <v>1.2166516303647512E-2</v>
      </c>
      <c r="J1072" s="147">
        <v>172.02</v>
      </c>
      <c r="K1072" s="147">
        <v>173.42</v>
      </c>
      <c r="L1072" s="147">
        <v>169.35</v>
      </c>
      <c r="M1072" s="147">
        <v>171.42</v>
      </c>
      <c r="N1072" s="147">
        <v>193865</v>
      </c>
      <c r="O1072" s="147" t="s">
        <v>1102</v>
      </c>
      <c r="P1072" s="151">
        <f t="shared" si="36"/>
        <v>3.5001750087506611E-3</v>
      </c>
    </row>
    <row r="1073" spans="2:16" ht="14.25" customHeight="1">
      <c r="B1073" s="243">
        <v>370.3116917490878</v>
      </c>
      <c r="C1073" s="243">
        <v>374.71445470077481</v>
      </c>
      <c r="D1073" s="243">
        <v>369.678614723355</v>
      </c>
      <c r="E1073" s="243">
        <v>373.00706514652586</v>
      </c>
      <c r="F1073" s="243">
        <v>3727420.3676379067</v>
      </c>
      <c r="G1073" s="243" t="s">
        <v>1103</v>
      </c>
      <c r="H1073" s="151">
        <f t="shared" si="35"/>
        <v>-7.226065266027204E-3</v>
      </c>
      <c r="J1073" s="147">
        <v>169.85</v>
      </c>
      <c r="K1073" s="147">
        <v>176.8</v>
      </c>
      <c r="L1073" s="147">
        <v>168.7</v>
      </c>
      <c r="M1073" s="147">
        <v>174</v>
      </c>
      <c r="N1073" s="147">
        <v>307557</v>
      </c>
      <c r="O1073" s="147" t="s">
        <v>1103</v>
      </c>
      <c r="P1073" s="151">
        <f t="shared" si="36"/>
        <v>-2.3850574712643735E-2</v>
      </c>
    </row>
    <row r="1074" spans="2:16" ht="14.25" customHeight="1">
      <c r="B1074" s="243">
        <v>370.3116917490878</v>
      </c>
      <c r="C1074" s="243">
        <v>370.47475704359471</v>
      </c>
      <c r="D1074" s="243">
        <v>367.47243720943777</v>
      </c>
      <c r="E1074" s="243">
        <v>369.28533960130886</v>
      </c>
      <c r="F1074" s="243">
        <v>3806258.3572841571</v>
      </c>
      <c r="G1074" s="243" t="s">
        <v>1104</v>
      </c>
      <c r="H1074" s="151">
        <f t="shared" si="35"/>
        <v>2.779292968648539E-3</v>
      </c>
      <c r="J1074" s="147">
        <v>173.06</v>
      </c>
      <c r="K1074" s="147">
        <v>173.52</v>
      </c>
      <c r="L1074" s="147">
        <v>161.09</v>
      </c>
      <c r="M1074" s="147">
        <v>162.13999999999999</v>
      </c>
      <c r="N1074" s="147">
        <v>395060</v>
      </c>
      <c r="O1074" s="147" t="s">
        <v>1104</v>
      </c>
      <c r="P1074" s="151">
        <f t="shared" si="36"/>
        <v>6.7349204391266904E-2</v>
      </c>
    </row>
    <row r="1075" spans="2:16" ht="14.25" customHeight="1">
      <c r="B1075" s="243">
        <v>362.71476744029439</v>
      </c>
      <c r="C1075" s="243">
        <v>363.93296111102262</v>
      </c>
      <c r="D1075" s="243">
        <v>361.7171915209579</v>
      </c>
      <c r="E1075" s="243">
        <v>363.55887014127143</v>
      </c>
      <c r="F1075" s="243">
        <v>2460910.4053281485</v>
      </c>
      <c r="G1075" s="243" t="s">
        <v>1105</v>
      </c>
      <c r="H1075" s="151">
        <f t="shared" si="35"/>
        <v>-2.3217772149226601E-3</v>
      </c>
      <c r="J1075" s="147">
        <v>159.47</v>
      </c>
      <c r="K1075" s="147">
        <v>166.13</v>
      </c>
      <c r="L1075" s="147">
        <v>159.34</v>
      </c>
      <c r="M1075" s="147">
        <v>166.13</v>
      </c>
      <c r="N1075" s="147">
        <v>583035</v>
      </c>
      <c r="O1075" s="147" t="s">
        <v>1105</v>
      </c>
      <c r="P1075" s="151">
        <f t="shared" si="36"/>
        <v>-4.008908685968815E-2</v>
      </c>
    </row>
    <row r="1076" spans="2:16" ht="14.25" customHeight="1">
      <c r="B1076" s="243">
        <v>364.15357886241435</v>
      </c>
      <c r="C1076" s="243">
        <v>368.24632591301531</v>
      </c>
      <c r="D1076" s="243">
        <v>363.12722671463541</v>
      </c>
      <c r="E1076" s="243">
        <v>366.20628315797211</v>
      </c>
      <c r="F1076" s="243">
        <v>3602294.1716457056</v>
      </c>
      <c r="G1076" s="243" t="s">
        <v>1106</v>
      </c>
      <c r="H1076" s="151">
        <f t="shared" si="35"/>
        <v>-5.605322437005511E-3</v>
      </c>
      <c r="J1076" s="147">
        <v>169.1</v>
      </c>
      <c r="K1076" s="147">
        <v>173.23</v>
      </c>
      <c r="L1076" s="147">
        <v>164.77</v>
      </c>
      <c r="M1076" s="147">
        <v>165.42</v>
      </c>
      <c r="N1076" s="147">
        <v>627791</v>
      </c>
      <c r="O1076" s="147" t="s">
        <v>1106</v>
      </c>
      <c r="P1076" s="151">
        <f t="shared" si="36"/>
        <v>2.224640309515169E-2</v>
      </c>
    </row>
    <row r="1077" spans="2:16" ht="14.25" customHeight="1">
      <c r="B1077" s="243">
        <v>364.47970945142822</v>
      </c>
      <c r="C1077" s="243">
        <v>365.17033893404579</v>
      </c>
      <c r="D1077" s="243">
        <v>361.1800352566998</v>
      </c>
      <c r="E1077" s="243">
        <v>361.28554809432188</v>
      </c>
      <c r="F1077" s="243">
        <v>2973381.3161536842</v>
      </c>
      <c r="G1077" s="243" t="s">
        <v>1107</v>
      </c>
      <c r="H1077" s="151">
        <f t="shared" si="35"/>
        <v>8.8410991636798109E-3</v>
      </c>
      <c r="J1077" s="147">
        <v>166.83</v>
      </c>
      <c r="K1077" s="147">
        <v>167.36</v>
      </c>
      <c r="L1077" s="147">
        <v>139.03</v>
      </c>
      <c r="M1077" s="147">
        <v>140.96</v>
      </c>
      <c r="N1077" s="147">
        <v>1336347</v>
      </c>
      <c r="O1077" s="147" t="s">
        <v>1107</v>
      </c>
      <c r="P1077" s="151">
        <f t="shared" si="36"/>
        <v>0.18352724177071522</v>
      </c>
    </row>
    <row r="1078" spans="2:16" ht="14.25" customHeight="1">
      <c r="B1078" s="243">
        <v>365.23748346707805</v>
      </c>
      <c r="C1078" s="243">
        <v>365.9664812542855</v>
      </c>
      <c r="D1078" s="243">
        <v>363.72193543577833</v>
      </c>
      <c r="E1078" s="243">
        <v>365.34299630470019</v>
      </c>
      <c r="F1078" s="243">
        <v>3555675.4841868789</v>
      </c>
      <c r="G1078" s="243" t="s">
        <v>1108</v>
      </c>
      <c r="H1078" s="151">
        <f t="shared" si="35"/>
        <v>-2.888048729259296E-4</v>
      </c>
      <c r="J1078" s="147">
        <v>143.13999999999999</v>
      </c>
      <c r="K1078" s="147">
        <v>146.85</v>
      </c>
      <c r="L1078" s="147">
        <v>142.595</v>
      </c>
      <c r="M1078" s="147">
        <v>146.35</v>
      </c>
      <c r="N1078" s="147">
        <v>462001</v>
      </c>
      <c r="O1078" s="147" t="s">
        <v>1108</v>
      </c>
      <c r="P1078" s="151">
        <f t="shared" si="36"/>
        <v>-2.1933720532968937E-2</v>
      </c>
    </row>
    <row r="1079" spans="2:16" ht="14.25" customHeight="1">
      <c r="B1079" s="243">
        <v>365.52524575150204</v>
      </c>
      <c r="C1079" s="243">
        <v>366.5132295946911</v>
      </c>
      <c r="D1079" s="243">
        <v>361.53494207415605</v>
      </c>
      <c r="E1079" s="243">
        <v>361.8035202062851</v>
      </c>
      <c r="F1079" s="243">
        <v>4018711.8416675427</v>
      </c>
      <c r="G1079" s="243" t="s">
        <v>1109</v>
      </c>
      <c r="H1079" s="151">
        <f t="shared" si="35"/>
        <v>1.0286592963758334E-2</v>
      </c>
      <c r="J1079" s="147">
        <v>146.69</v>
      </c>
      <c r="K1079" s="147">
        <v>148.78</v>
      </c>
      <c r="L1079" s="147">
        <v>145.63999999999999</v>
      </c>
      <c r="M1079" s="147">
        <v>147.91999999999999</v>
      </c>
      <c r="N1079" s="147">
        <v>342118</v>
      </c>
      <c r="O1079" s="147" t="s">
        <v>1109</v>
      </c>
      <c r="P1079" s="151">
        <f t="shared" si="36"/>
        <v>-8.3153055705785794E-3</v>
      </c>
    </row>
    <row r="1080" spans="2:16" ht="14.25" customHeight="1">
      <c r="B1080" s="243">
        <v>359.90428912908669</v>
      </c>
      <c r="C1080" s="243">
        <v>364.14110916342264</v>
      </c>
      <c r="D1080" s="243">
        <v>358.69568753450596</v>
      </c>
      <c r="E1080" s="243">
        <v>360.76757598235872</v>
      </c>
      <c r="F1080" s="243">
        <v>4308335.2722252524</v>
      </c>
      <c r="G1080" s="243" t="s">
        <v>1110</v>
      </c>
      <c r="H1080" s="151">
        <f t="shared" si="35"/>
        <v>-2.3929169657814775E-3</v>
      </c>
      <c r="J1080" s="147">
        <v>146.46</v>
      </c>
      <c r="K1080" s="147">
        <v>147.6</v>
      </c>
      <c r="L1080" s="147">
        <v>140.58000000000001</v>
      </c>
      <c r="M1080" s="147">
        <v>140.58000000000001</v>
      </c>
      <c r="N1080" s="147">
        <v>478485</v>
      </c>
      <c r="O1080" s="147" t="s">
        <v>1110</v>
      </c>
      <c r="P1080" s="151">
        <f t="shared" si="36"/>
        <v>4.1826717883055808E-2</v>
      </c>
    </row>
    <row r="1081" spans="2:16" ht="14.25" customHeight="1">
      <c r="B1081" s="243">
        <v>362.2447557090685</v>
      </c>
      <c r="C1081" s="243">
        <v>364.5084856798706</v>
      </c>
      <c r="D1081" s="243">
        <v>360.12490688047848</v>
      </c>
      <c r="E1081" s="243">
        <v>360.77716805850616</v>
      </c>
      <c r="F1081" s="243">
        <v>4609397.3108916963</v>
      </c>
      <c r="G1081" s="243" t="s">
        <v>1111</v>
      </c>
      <c r="H1081" s="151">
        <f t="shared" si="35"/>
        <v>4.0678506859512797E-3</v>
      </c>
      <c r="J1081" s="147">
        <v>141.09</v>
      </c>
      <c r="K1081" s="147">
        <v>142.095</v>
      </c>
      <c r="L1081" s="147">
        <v>136.1</v>
      </c>
      <c r="M1081" s="147">
        <v>137.12</v>
      </c>
      <c r="N1081" s="147">
        <v>309709</v>
      </c>
      <c r="O1081" s="147" t="s">
        <v>1111</v>
      </c>
      <c r="P1081" s="151">
        <f t="shared" si="36"/>
        <v>2.8952742123687258E-2</v>
      </c>
    </row>
    <row r="1082" spans="2:16" ht="14.25" customHeight="1">
      <c r="B1082" s="243">
        <v>363.3382523898797</v>
      </c>
      <c r="C1082" s="243">
        <v>364.17276301470929</v>
      </c>
      <c r="D1082" s="243">
        <v>358.67650338221102</v>
      </c>
      <c r="E1082" s="243">
        <v>359.44386947400835</v>
      </c>
      <c r="F1082" s="243">
        <v>5469528.0972991027</v>
      </c>
      <c r="G1082" s="243" t="s">
        <v>1112</v>
      </c>
      <c r="H1082" s="151">
        <f t="shared" si="35"/>
        <v>1.0834467483254562E-2</v>
      </c>
      <c r="J1082" s="147">
        <v>139.38</v>
      </c>
      <c r="K1082" s="147">
        <v>141.6</v>
      </c>
      <c r="L1082" s="147">
        <v>139.1</v>
      </c>
      <c r="M1082" s="147">
        <v>140.91</v>
      </c>
      <c r="N1082" s="147">
        <v>289589</v>
      </c>
      <c r="O1082" s="147" t="s">
        <v>1112</v>
      </c>
      <c r="P1082" s="151">
        <f t="shared" si="36"/>
        <v>-1.0857994464551823E-2</v>
      </c>
    </row>
    <row r="1083" spans="2:16" ht="14.25" customHeight="1">
      <c r="B1083" s="243">
        <v>358.0913867372156</v>
      </c>
      <c r="C1083" s="243">
        <v>358.65731922991614</v>
      </c>
      <c r="D1083" s="243">
        <v>351.05080284497529</v>
      </c>
      <c r="E1083" s="243">
        <v>354.35047703970372</v>
      </c>
      <c r="F1083" s="243">
        <v>4530129.8000514256</v>
      </c>
      <c r="G1083" s="243" t="s">
        <v>1113</v>
      </c>
      <c r="H1083" s="151">
        <f t="shared" si="35"/>
        <v>1.0557089491635585E-2</v>
      </c>
      <c r="J1083" s="147">
        <v>141.1</v>
      </c>
      <c r="K1083" s="147">
        <v>141.65</v>
      </c>
      <c r="L1083" s="147">
        <v>134.63</v>
      </c>
      <c r="M1083" s="147">
        <v>138.02000000000001</v>
      </c>
      <c r="N1083" s="147">
        <v>250509</v>
      </c>
      <c r="O1083" s="147" t="s">
        <v>1113</v>
      </c>
      <c r="P1083" s="151">
        <f t="shared" si="36"/>
        <v>2.231560643385011E-2</v>
      </c>
    </row>
    <row r="1084" spans="2:16" ht="14.25" customHeight="1">
      <c r="B1084" s="243">
        <v>353.62147925249627</v>
      </c>
      <c r="C1084" s="243">
        <v>355.22335596912313</v>
      </c>
      <c r="D1084" s="243">
        <v>347.44466181733526</v>
      </c>
      <c r="E1084" s="243">
        <v>347.70316826950949</v>
      </c>
      <c r="F1084" s="243">
        <v>4691647.4919652054</v>
      </c>
      <c r="G1084" s="243" t="s">
        <v>1114</v>
      </c>
      <c r="H1084" s="151">
        <f t="shared" si="35"/>
        <v>1.7021159204391845E-2</v>
      </c>
      <c r="J1084" s="147">
        <v>136.52000000000001</v>
      </c>
      <c r="K1084" s="147">
        <v>136.71</v>
      </c>
      <c r="L1084" s="147">
        <v>131.36000000000001</v>
      </c>
      <c r="M1084" s="147">
        <v>133.26</v>
      </c>
      <c r="N1084" s="147">
        <v>284569</v>
      </c>
      <c r="O1084" s="147" t="s">
        <v>1114</v>
      </c>
      <c r="P1084" s="151">
        <f t="shared" si="36"/>
        <v>2.4463454900195192E-2</v>
      </c>
    </row>
    <row r="1085" spans="2:16" ht="14.25" customHeight="1">
      <c r="B1085" s="243">
        <v>344.59533559773035</v>
      </c>
      <c r="C1085" s="243">
        <v>347.43459013738038</v>
      </c>
      <c r="D1085" s="243">
        <v>343.82806542669454</v>
      </c>
      <c r="E1085" s="243">
        <v>347.34826145205324</v>
      </c>
      <c r="F1085" s="243">
        <v>3114226.7368144495</v>
      </c>
      <c r="G1085" s="243" t="s">
        <v>1115</v>
      </c>
      <c r="H1085" s="151">
        <f t="shared" si="35"/>
        <v>-7.925549541588528E-3</v>
      </c>
      <c r="J1085" s="147">
        <v>131.6</v>
      </c>
      <c r="K1085" s="147">
        <v>132.04</v>
      </c>
      <c r="L1085" s="147">
        <v>127.8002</v>
      </c>
      <c r="M1085" s="147">
        <v>129.29</v>
      </c>
      <c r="N1085" s="147">
        <v>329114</v>
      </c>
      <c r="O1085" s="147" t="s">
        <v>1115</v>
      </c>
      <c r="P1085" s="151">
        <f t="shared" si="36"/>
        <v>1.7866811044937814E-2</v>
      </c>
    </row>
    <row r="1086" spans="2:16" ht="14.25" customHeight="1">
      <c r="B1086" s="243">
        <v>348.77748079802575</v>
      </c>
      <c r="C1086" s="243">
        <v>349.5736231182654</v>
      </c>
      <c r="D1086" s="243">
        <v>346.70559235017294</v>
      </c>
      <c r="E1086" s="243">
        <v>348.99809854941742</v>
      </c>
      <c r="F1086" s="243">
        <v>4068180.7984090233</v>
      </c>
      <c r="G1086" s="243" t="s">
        <v>1116</v>
      </c>
      <c r="H1086" s="151">
        <f t="shared" si="35"/>
        <v>-6.321459982407962E-4</v>
      </c>
      <c r="J1086" s="147">
        <v>129.38</v>
      </c>
      <c r="K1086" s="147">
        <v>132.57</v>
      </c>
      <c r="L1086" s="147">
        <v>128.62</v>
      </c>
      <c r="M1086" s="147">
        <v>132.57</v>
      </c>
      <c r="N1086" s="147">
        <v>373045</v>
      </c>
      <c r="O1086" s="147" t="s">
        <v>1116</v>
      </c>
      <c r="P1086" s="151">
        <f t="shared" si="36"/>
        <v>-2.4062759296975211E-2</v>
      </c>
    </row>
    <row r="1087" spans="2:16" ht="14.25" customHeight="1">
      <c r="B1087" s="243">
        <v>348.43216605671694</v>
      </c>
      <c r="C1087" s="243">
        <v>352.834929008404</v>
      </c>
      <c r="D1087" s="243">
        <v>346.28354099968442</v>
      </c>
      <c r="E1087" s="243">
        <v>351.73184025144536</v>
      </c>
      <c r="F1087" s="243">
        <v>4726674.3198213149</v>
      </c>
      <c r="G1087" s="243" t="s">
        <v>1117</v>
      </c>
      <c r="H1087" s="151">
        <f t="shared" si="35"/>
        <v>-9.3812211950148328E-3</v>
      </c>
      <c r="J1087" s="147">
        <v>131.34</v>
      </c>
      <c r="K1087" s="147">
        <v>133.06</v>
      </c>
      <c r="L1087" s="147">
        <v>127.44</v>
      </c>
      <c r="M1087" s="147">
        <v>129.35</v>
      </c>
      <c r="N1087" s="147">
        <v>344990</v>
      </c>
      <c r="O1087" s="147" t="s">
        <v>1117</v>
      </c>
      <c r="P1087" s="151">
        <f t="shared" si="36"/>
        <v>1.5384615384615552E-2</v>
      </c>
    </row>
    <row r="1088" spans="2:16" ht="14.25" customHeight="1">
      <c r="B1088" s="243">
        <v>351.63591948997066</v>
      </c>
      <c r="C1088" s="243">
        <v>351.6646957184131</v>
      </c>
      <c r="D1088" s="243">
        <v>345.3243333849378</v>
      </c>
      <c r="E1088" s="243">
        <v>347.57847127959241</v>
      </c>
      <c r="F1088" s="243">
        <v>4799773.1973969694</v>
      </c>
      <c r="G1088" s="243" t="s">
        <v>1118</v>
      </c>
      <c r="H1088" s="151">
        <f t="shared" si="35"/>
        <v>1.1673473893365705E-2</v>
      </c>
      <c r="J1088" s="147">
        <v>129.5</v>
      </c>
      <c r="K1088" s="147">
        <v>131.304</v>
      </c>
      <c r="L1088" s="147">
        <v>125.181</v>
      </c>
      <c r="M1088" s="147">
        <v>125.92</v>
      </c>
      <c r="N1088" s="147">
        <v>1231522</v>
      </c>
      <c r="O1088" s="147" t="s">
        <v>1118</v>
      </c>
      <c r="P1088" s="151">
        <f t="shared" si="36"/>
        <v>2.8430749682337941E-2</v>
      </c>
    </row>
    <row r="1089" spans="2:16" ht="14.25" customHeight="1">
      <c r="B1089" s="243">
        <v>348.11562754385056</v>
      </c>
      <c r="C1089" s="243">
        <v>349.3816856745546</v>
      </c>
      <c r="D1089" s="243">
        <v>344.7871771206797</v>
      </c>
      <c r="E1089" s="243">
        <v>345.98618663911299</v>
      </c>
      <c r="F1089" s="243">
        <v>4452254.0629830426</v>
      </c>
      <c r="G1089" s="243" t="s">
        <v>1119</v>
      </c>
      <c r="H1089" s="151">
        <f t="shared" si="35"/>
        <v>6.1546991960079733E-3</v>
      </c>
      <c r="J1089" s="147">
        <v>124.98</v>
      </c>
      <c r="K1089" s="147">
        <v>127.56</v>
      </c>
      <c r="L1089" s="147">
        <v>123.25</v>
      </c>
      <c r="M1089" s="147">
        <v>124.83</v>
      </c>
      <c r="N1089" s="147">
        <v>984668</v>
      </c>
      <c r="O1089" s="147" t="s">
        <v>1119</v>
      </c>
      <c r="P1089" s="151">
        <f t="shared" si="36"/>
        <v>1.2016342225427135E-3</v>
      </c>
    </row>
    <row r="1090" spans="2:16" ht="14.25" customHeight="1">
      <c r="B1090" s="243">
        <v>345.89985795378578</v>
      </c>
      <c r="C1090" s="243">
        <v>346.36027760886418</v>
      </c>
      <c r="D1090" s="243">
        <v>339.79929752399715</v>
      </c>
      <c r="E1090" s="243">
        <v>340.47074285431978</v>
      </c>
      <c r="F1090" s="243">
        <v>3774106.8193627801</v>
      </c>
      <c r="G1090" s="243" t="s">
        <v>1120</v>
      </c>
      <c r="H1090" s="151">
        <f t="shared" si="35"/>
        <v>1.5945907874348464E-2</v>
      </c>
      <c r="J1090" s="147">
        <v>124.71</v>
      </c>
      <c r="K1090" s="147">
        <v>125.85</v>
      </c>
      <c r="L1090" s="147">
        <v>122.35</v>
      </c>
      <c r="M1090" s="147">
        <v>123.51</v>
      </c>
      <c r="N1090" s="147">
        <v>663623</v>
      </c>
      <c r="O1090" s="147" t="s">
        <v>1120</v>
      </c>
      <c r="P1090" s="151">
        <f t="shared" si="36"/>
        <v>9.7158124848188976E-3</v>
      </c>
    </row>
    <row r="1091" spans="2:16" ht="14.25" customHeight="1">
      <c r="B1091" s="243">
        <v>336.75860938525028</v>
      </c>
      <c r="C1091" s="243">
        <v>343.03182718569337</v>
      </c>
      <c r="D1091" s="243">
        <v>335.64592855214426</v>
      </c>
      <c r="E1091" s="243">
        <v>342.40834223610807</v>
      </c>
      <c r="F1091" s="243">
        <v>3695633.714226014</v>
      </c>
      <c r="G1091" s="243" t="s">
        <v>1121</v>
      </c>
      <c r="H1091" s="151">
        <f t="shared" si="35"/>
        <v>-1.6499985993221E-2</v>
      </c>
      <c r="J1091" s="147">
        <v>121.05</v>
      </c>
      <c r="K1091" s="147">
        <v>126.68</v>
      </c>
      <c r="L1091" s="147">
        <v>120.25</v>
      </c>
      <c r="M1091" s="147">
        <v>126.25</v>
      </c>
      <c r="N1091" s="147">
        <v>322935</v>
      </c>
      <c r="O1091" s="147" t="s">
        <v>1121</v>
      </c>
      <c r="P1091" s="151">
        <f t="shared" si="36"/>
        <v>-4.1188118811881225E-2</v>
      </c>
    </row>
    <row r="1092" spans="2:16" ht="14.25" customHeight="1">
      <c r="B1092" s="243">
        <v>339.56908769645798</v>
      </c>
      <c r="C1092" s="243">
        <v>339.66500845793263</v>
      </c>
      <c r="D1092" s="243">
        <v>335.53082363837461</v>
      </c>
      <c r="E1092" s="243">
        <v>337.38209433483564</v>
      </c>
      <c r="F1092" s="243">
        <v>4712718.008597143</v>
      </c>
      <c r="G1092" s="243" t="s">
        <v>1122</v>
      </c>
      <c r="H1092" s="151">
        <f t="shared" si="35"/>
        <v>6.4822449037613694E-3</v>
      </c>
      <c r="J1092" s="147">
        <v>122.5</v>
      </c>
      <c r="K1092" s="147">
        <v>124.16</v>
      </c>
      <c r="L1092" s="147">
        <v>120.1</v>
      </c>
      <c r="M1092" s="147">
        <v>122.65</v>
      </c>
      <c r="N1092" s="147">
        <v>710220</v>
      </c>
      <c r="O1092" s="147" t="s">
        <v>1122</v>
      </c>
      <c r="P1092" s="151">
        <f t="shared" si="36"/>
        <v>-1.2229922543823823E-3</v>
      </c>
    </row>
    <row r="1093" spans="2:16" ht="14.25" customHeight="1">
      <c r="B1093" s="243">
        <v>333.26709366757257</v>
      </c>
      <c r="C1093" s="243">
        <v>333.75628955109335</v>
      </c>
      <c r="D1093" s="243">
        <v>327.13296097126778</v>
      </c>
      <c r="E1093" s="243">
        <v>329.4014869801436</v>
      </c>
      <c r="F1093" s="243">
        <v>4821521.3566893768</v>
      </c>
      <c r="G1093" s="243" t="s">
        <v>1123</v>
      </c>
      <c r="H1093" s="151">
        <f t="shared" si="35"/>
        <v>1.1735243586383559E-2</v>
      </c>
      <c r="J1093" s="147">
        <v>120.36</v>
      </c>
      <c r="K1093" s="147">
        <v>121.095</v>
      </c>
      <c r="L1093" s="147">
        <v>118.65</v>
      </c>
      <c r="M1093" s="147">
        <v>120.29</v>
      </c>
      <c r="N1093" s="147">
        <v>358734</v>
      </c>
      <c r="O1093" s="147" t="s">
        <v>1123</v>
      </c>
      <c r="P1093" s="151">
        <f t="shared" si="36"/>
        <v>5.8192700972647948E-4</v>
      </c>
    </row>
    <row r="1094" spans="2:16" ht="14.25" customHeight="1">
      <c r="B1094" s="243">
        <v>334.14956467313948</v>
      </c>
      <c r="C1094" s="243">
        <v>336.68187277607058</v>
      </c>
      <c r="D1094" s="243">
        <v>330.3223262903004</v>
      </c>
      <c r="E1094" s="243">
        <v>330.67723310775665</v>
      </c>
      <c r="F1094" s="243">
        <v>5841838.5278145326</v>
      </c>
      <c r="G1094" s="243" t="s">
        <v>1124</v>
      </c>
      <c r="H1094" s="151">
        <f t="shared" si="35"/>
        <v>1.0500667169460964E-2</v>
      </c>
      <c r="J1094" s="147">
        <v>122.63</v>
      </c>
      <c r="K1094" s="147">
        <v>124.95</v>
      </c>
      <c r="L1094" s="147">
        <v>121.96</v>
      </c>
      <c r="M1094" s="147">
        <v>124.07</v>
      </c>
      <c r="N1094" s="147">
        <v>540872</v>
      </c>
      <c r="O1094" s="147" t="s">
        <v>1124</v>
      </c>
      <c r="P1094" s="151">
        <f t="shared" si="36"/>
        <v>-1.1606351253324765E-2</v>
      </c>
    </row>
    <row r="1095" spans="2:16" ht="14.25" customHeight="1">
      <c r="B1095" s="243">
        <v>335.71307308517646</v>
      </c>
      <c r="C1095" s="243">
        <v>340.42278247358246</v>
      </c>
      <c r="D1095" s="243">
        <v>334.16874882543436</v>
      </c>
      <c r="E1095" s="243">
        <v>338.21660495966523</v>
      </c>
      <c r="F1095" s="243">
        <v>4253793.378274777</v>
      </c>
      <c r="G1095" s="243" t="s">
        <v>1125</v>
      </c>
      <c r="H1095" s="151">
        <f t="shared" si="35"/>
        <v>-7.4021554169031445E-3</v>
      </c>
      <c r="J1095" s="147">
        <v>126.38</v>
      </c>
      <c r="K1095" s="147">
        <v>131.83000000000001</v>
      </c>
      <c r="L1095" s="147">
        <v>125.09</v>
      </c>
      <c r="M1095" s="147">
        <v>130.71</v>
      </c>
      <c r="N1095" s="147">
        <v>242162</v>
      </c>
      <c r="O1095" s="147" t="s">
        <v>1125</v>
      </c>
      <c r="P1095" s="151">
        <f t="shared" si="36"/>
        <v>-3.3126769183689175E-2</v>
      </c>
    </row>
    <row r="1096" spans="2:16" ht="14.25" customHeight="1">
      <c r="B1096" s="243">
        <v>338.84008990925054</v>
      </c>
      <c r="C1096" s="243">
        <v>341.0654515754627</v>
      </c>
      <c r="D1096" s="243">
        <v>338.13027627433803</v>
      </c>
      <c r="E1096" s="243">
        <v>340.36523001669764</v>
      </c>
      <c r="F1096" s="243">
        <v>3640186.9066920183</v>
      </c>
      <c r="G1096" s="243" t="s">
        <v>1126</v>
      </c>
      <c r="H1096" s="151">
        <f t="shared" si="35"/>
        <v>-4.4808927967533441E-3</v>
      </c>
      <c r="J1096" s="147">
        <v>130.44999999999999</v>
      </c>
      <c r="K1096" s="147">
        <v>134.57</v>
      </c>
      <c r="L1096" s="147">
        <v>129.81</v>
      </c>
      <c r="M1096" s="147">
        <v>132.99</v>
      </c>
      <c r="N1096" s="147">
        <v>215109</v>
      </c>
      <c r="O1096" s="147" t="s">
        <v>1126</v>
      </c>
      <c r="P1096" s="151">
        <f t="shared" si="36"/>
        <v>-1.909918038950309E-2</v>
      </c>
    </row>
    <row r="1097" spans="2:16" ht="14.25" customHeight="1">
      <c r="B1097" s="243">
        <v>342.71528867282694</v>
      </c>
      <c r="C1097" s="243">
        <v>344.40349407478107</v>
      </c>
      <c r="D1097" s="243">
        <v>340.0112824068562</v>
      </c>
      <c r="E1097" s="243">
        <v>341.38755349249465</v>
      </c>
      <c r="F1097" s="243">
        <v>4995103.1730138632</v>
      </c>
      <c r="G1097" s="243" t="s">
        <v>1127</v>
      </c>
      <c r="H1097" s="151">
        <f t="shared" si="35"/>
        <v>3.8892313640295217E-3</v>
      </c>
      <c r="J1097" s="147">
        <v>134.9</v>
      </c>
      <c r="K1097" s="147">
        <v>138.095</v>
      </c>
      <c r="L1097" s="147">
        <v>130.8032</v>
      </c>
      <c r="M1097" s="147">
        <v>132.41999999999999</v>
      </c>
      <c r="N1097" s="147">
        <v>191992</v>
      </c>
      <c r="O1097" s="147" t="s">
        <v>1127</v>
      </c>
      <c r="P1097" s="151">
        <f t="shared" si="36"/>
        <v>1.8728288778130375E-2</v>
      </c>
    </row>
    <row r="1098" spans="2:16" ht="14.25" customHeight="1">
      <c r="B1098" s="243">
        <v>342.91672227192373</v>
      </c>
      <c r="C1098" s="243">
        <v>343.68408836372106</v>
      </c>
      <c r="D1098" s="243">
        <v>339.55949562031049</v>
      </c>
      <c r="E1098" s="243">
        <v>339.56908769645798</v>
      </c>
      <c r="F1098" s="243">
        <v>3896422.3621047861</v>
      </c>
      <c r="G1098" s="243" t="s">
        <v>1128</v>
      </c>
      <c r="H1098" s="151">
        <f t="shared" ref="H1098:H1161" si="37">B1098/E1098-1</f>
        <v>9.8584785740514214E-3</v>
      </c>
      <c r="J1098" s="147">
        <v>133.68</v>
      </c>
      <c r="K1098" s="147">
        <v>133.78</v>
      </c>
      <c r="L1098" s="147">
        <v>124.22</v>
      </c>
      <c r="M1098" s="147">
        <v>124.53</v>
      </c>
      <c r="N1098" s="147">
        <v>303103</v>
      </c>
      <c r="O1098" s="147" t="s">
        <v>1128</v>
      </c>
      <c r="P1098" s="151">
        <f t="shared" ref="P1098:P1161" si="38">J1098/M1098-1</f>
        <v>7.3476270778125796E-2</v>
      </c>
    </row>
    <row r="1099" spans="2:16" ht="14.25" customHeight="1">
      <c r="B1099" s="243">
        <v>337.95761890368362</v>
      </c>
      <c r="C1099" s="243">
        <v>340.21175679833823</v>
      </c>
      <c r="D1099" s="243">
        <v>334.69631301354502</v>
      </c>
      <c r="E1099" s="243">
        <v>336.90249052746231</v>
      </c>
      <c r="F1099" s="243">
        <v>5682740.5414622156</v>
      </c>
      <c r="G1099" s="243" t="s">
        <v>1129</v>
      </c>
      <c r="H1099" s="151">
        <f t="shared" si="37"/>
        <v>3.1318509238960068E-3</v>
      </c>
      <c r="J1099" s="147">
        <v>125.32</v>
      </c>
      <c r="K1099" s="147">
        <v>127.74</v>
      </c>
      <c r="L1099" s="147">
        <v>124.63</v>
      </c>
      <c r="M1099" s="147">
        <v>126.63</v>
      </c>
      <c r="N1099" s="147">
        <v>189223</v>
      </c>
      <c r="O1099" s="147" t="s">
        <v>1129</v>
      </c>
      <c r="P1099" s="151">
        <f t="shared" si="38"/>
        <v>-1.0345099897338672E-2</v>
      </c>
    </row>
    <row r="1100" spans="2:16" ht="14.25" customHeight="1">
      <c r="B1100" s="243">
        <v>336.7394252329554</v>
      </c>
      <c r="C1100" s="243">
        <v>336.77779353754528</v>
      </c>
      <c r="D1100" s="243">
        <v>328.79718618285318</v>
      </c>
      <c r="E1100" s="243">
        <v>331.38704674266916</v>
      </c>
      <c r="F1100" s="243">
        <v>6443405.8956386643</v>
      </c>
      <c r="G1100" s="243" t="s">
        <v>1130</v>
      </c>
      <c r="H1100" s="151">
        <f t="shared" si="37"/>
        <v>1.6151441472733508E-2</v>
      </c>
      <c r="J1100" s="147">
        <v>126.51</v>
      </c>
      <c r="K1100" s="147">
        <v>127.04</v>
      </c>
      <c r="L1100" s="147">
        <v>121.18</v>
      </c>
      <c r="M1100" s="147">
        <v>123.64</v>
      </c>
      <c r="N1100" s="147">
        <v>304493</v>
      </c>
      <c r="O1100" s="147" t="s">
        <v>1130</v>
      </c>
      <c r="P1100" s="151">
        <f t="shared" si="38"/>
        <v>2.3212552571983291E-2</v>
      </c>
    </row>
    <row r="1101" spans="2:16" ht="14.25" customHeight="1">
      <c r="B1101" s="243">
        <v>336.14471651181248</v>
      </c>
      <c r="C1101" s="243">
        <v>336.51880748156367</v>
      </c>
      <c r="D1101" s="243">
        <v>329.57414435079795</v>
      </c>
      <c r="E1101" s="243">
        <v>332.0393079206969</v>
      </c>
      <c r="F1101" s="243">
        <v>7799646.1714663506</v>
      </c>
      <c r="G1101" s="243" t="s">
        <v>1131</v>
      </c>
      <c r="H1101" s="151">
        <f t="shared" si="37"/>
        <v>1.2364224636006282E-2</v>
      </c>
      <c r="J1101" s="147">
        <v>125.7</v>
      </c>
      <c r="K1101" s="147">
        <v>126.36</v>
      </c>
      <c r="L1101" s="147">
        <v>121.85</v>
      </c>
      <c r="M1101" s="147">
        <v>124.39</v>
      </c>
      <c r="N1101" s="147">
        <v>298811</v>
      </c>
      <c r="O1101" s="147" t="s">
        <v>1131</v>
      </c>
      <c r="P1101" s="151">
        <f t="shared" si="38"/>
        <v>1.0531393198810246E-2</v>
      </c>
    </row>
    <row r="1102" spans="2:16" ht="14.25" customHeight="1">
      <c r="B1102" s="243">
        <v>332.72993740331441</v>
      </c>
      <c r="C1102" s="243">
        <v>335.56919194296444</v>
      </c>
      <c r="D1102" s="243">
        <v>328.48064766998681</v>
      </c>
      <c r="E1102" s="243">
        <v>331.77072978856779</v>
      </c>
      <c r="F1102" s="243">
        <v>7464076.4834744353</v>
      </c>
      <c r="G1102" s="243" t="s">
        <v>1132</v>
      </c>
      <c r="H1102" s="151">
        <f t="shared" si="37"/>
        <v>2.8911761304497574E-3</v>
      </c>
      <c r="J1102" s="147">
        <v>124.52</v>
      </c>
      <c r="K1102" s="147">
        <v>128</v>
      </c>
      <c r="L1102" s="147">
        <v>122.79</v>
      </c>
      <c r="M1102" s="147">
        <v>127.94</v>
      </c>
      <c r="N1102" s="147">
        <v>325017</v>
      </c>
      <c r="O1102" s="147" t="s">
        <v>1132</v>
      </c>
      <c r="P1102" s="151">
        <f t="shared" si="38"/>
        <v>-2.6731280287634829E-2</v>
      </c>
    </row>
    <row r="1103" spans="2:16" ht="14.25" customHeight="1">
      <c r="B1103" s="243">
        <v>335.37735042001515</v>
      </c>
      <c r="C1103" s="243">
        <v>337.02718751737939</v>
      </c>
      <c r="D1103" s="243">
        <v>333.62200048502882</v>
      </c>
      <c r="E1103" s="243">
        <v>336.13512443566503</v>
      </c>
      <c r="F1103" s="243">
        <v>3936437.6824691249</v>
      </c>
      <c r="G1103" s="243" t="s">
        <v>1133</v>
      </c>
      <c r="H1103" s="151">
        <f t="shared" si="37"/>
        <v>-2.2543731986417459E-3</v>
      </c>
      <c r="J1103" s="147">
        <v>130.25</v>
      </c>
      <c r="K1103" s="147">
        <v>130.43</v>
      </c>
      <c r="L1103" s="147">
        <v>125</v>
      </c>
      <c r="M1103" s="147">
        <v>127.78</v>
      </c>
      <c r="N1103" s="147">
        <v>155888</v>
      </c>
      <c r="O1103" s="147" t="s">
        <v>1133</v>
      </c>
      <c r="P1103" s="151">
        <f t="shared" si="38"/>
        <v>1.933009860698065E-2</v>
      </c>
    </row>
    <row r="1104" spans="2:16" ht="14.25" customHeight="1">
      <c r="B1104" s="243">
        <v>335.21227078951728</v>
      </c>
      <c r="C1104" s="243">
        <v>346.61369128502281</v>
      </c>
      <c r="D1104" s="243">
        <v>335.21227078951728</v>
      </c>
      <c r="E1104" s="243">
        <v>343.98185940692332</v>
      </c>
      <c r="F1104" s="243">
        <v>9213697.9196066596</v>
      </c>
      <c r="G1104" s="243" t="s">
        <v>1134</v>
      </c>
      <c r="H1104" s="151">
        <f t="shared" si="37"/>
        <v>-2.5494334592312873E-2</v>
      </c>
      <c r="J1104" s="147">
        <v>128.55000000000001</v>
      </c>
      <c r="K1104" s="147">
        <v>133.99</v>
      </c>
      <c r="L1104" s="147">
        <v>128.32</v>
      </c>
      <c r="M1104" s="147">
        <v>132.51</v>
      </c>
      <c r="N1104" s="147">
        <v>659323</v>
      </c>
      <c r="O1104" s="147" t="s">
        <v>1134</v>
      </c>
      <c r="P1104" s="151">
        <f t="shared" si="38"/>
        <v>-2.9884537016074075E-2</v>
      </c>
    </row>
    <row r="1105" spans="2:16" ht="14.25" customHeight="1">
      <c r="B1105" s="243">
        <v>342.6157905917936</v>
      </c>
      <c r="C1105" s="243">
        <v>345.00402278607629</v>
      </c>
      <c r="D1105" s="243">
        <v>341.58407428386352</v>
      </c>
      <c r="E1105" s="243">
        <v>344.86072885441939</v>
      </c>
      <c r="F1105" s="243">
        <v>4824269.19274511</v>
      </c>
      <c r="G1105" s="243" t="s">
        <v>1135</v>
      </c>
      <c r="H1105" s="151">
        <f t="shared" si="37"/>
        <v>-6.5096952908589856E-3</v>
      </c>
      <c r="J1105" s="147">
        <v>132.56</v>
      </c>
      <c r="K1105" s="147">
        <v>132.94</v>
      </c>
      <c r="L1105" s="147">
        <v>129.41999999999999</v>
      </c>
      <c r="M1105" s="147">
        <v>132.13999999999999</v>
      </c>
      <c r="N1105" s="147">
        <v>211140</v>
      </c>
      <c r="O1105" s="147" t="s">
        <v>1135</v>
      </c>
      <c r="P1105" s="151">
        <f t="shared" si="38"/>
        <v>3.1784471015590121E-3</v>
      </c>
    </row>
    <row r="1106" spans="2:16" ht="14.25" customHeight="1">
      <c r="B1106" s="243">
        <v>343.90543597670631</v>
      </c>
      <c r="C1106" s="243">
        <v>343.92454183426054</v>
      </c>
      <c r="D1106" s="243">
        <v>336.23443416867036</v>
      </c>
      <c r="E1106" s="243">
        <v>336.29175174133309</v>
      </c>
      <c r="F1106" s="243">
        <v>5714016.2219858039</v>
      </c>
      <c r="G1106" s="243" t="s">
        <v>1136</v>
      </c>
      <c r="H1106" s="151">
        <f t="shared" si="37"/>
        <v>2.2640115899213331E-2</v>
      </c>
      <c r="J1106" s="147">
        <v>131.75</v>
      </c>
      <c r="K1106" s="147">
        <v>132.38</v>
      </c>
      <c r="L1106" s="147">
        <v>128.03</v>
      </c>
      <c r="M1106" s="147">
        <v>129.16999999999999</v>
      </c>
      <c r="N1106" s="147">
        <v>335024</v>
      </c>
      <c r="O1106" s="147" t="s">
        <v>1136</v>
      </c>
      <c r="P1106" s="151">
        <f t="shared" si="38"/>
        <v>1.997367809862971E-2</v>
      </c>
    </row>
    <row r="1107" spans="2:16" ht="14.25" customHeight="1">
      <c r="B1107" s="243">
        <v>333.5214023959652</v>
      </c>
      <c r="C1107" s="243">
        <v>333.97994297726746</v>
      </c>
      <c r="D1107" s="243">
        <v>328.75449093617692</v>
      </c>
      <c r="E1107" s="243">
        <v>332.08846307939558</v>
      </c>
      <c r="F1107" s="243">
        <v>7022740.5191803528</v>
      </c>
      <c r="G1107" s="243" t="s">
        <v>1137</v>
      </c>
      <c r="H1107" s="151">
        <f t="shared" si="37"/>
        <v>4.3149325432212393E-3</v>
      </c>
      <c r="J1107" s="147">
        <v>127.58</v>
      </c>
      <c r="K1107" s="147">
        <v>127.97</v>
      </c>
      <c r="L1107" s="147">
        <v>122.94</v>
      </c>
      <c r="M1107" s="147">
        <v>123.24</v>
      </c>
      <c r="N1107" s="147">
        <v>258056</v>
      </c>
      <c r="O1107" s="147" t="s">
        <v>1137</v>
      </c>
      <c r="P1107" s="151">
        <f t="shared" si="38"/>
        <v>3.5215839013307493E-2</v>
      </c>
    </row>
    <row r="1108" spans="2:16" ht="14.25" customHeight="1">
      <c r="B1108" s="243">
        <v>330.05368924986675</v>
      </c>
      <c r="C1108" s="243">
        <v>333.88441368949617</v>
      </c>
      <c r="D1108" s="243">
        <v>326.36129121893015</v>
      </c>
      <c r="E1108" s="243">
        <v>326.78658760808798</v>
      </c>
      <c r="F1108" s="243">
        <v>5104256.6251232419</v>
      </c>
      <c r="G1108" s="243" t="s">
        <v>1138</v>
      </c>
      <c r="H1108" s="151">
        <f t="shared" si="37"/>
        <v>9.9976613657626334E-3</v>
      </c>
      <c r="J1108" s="147">
        <v>122.5</v>
      </c>
      <c r="K1108" s="147">
        <v>125.465</v>
      </c>
      <c r="L1108" s="147">
        <v>121.27</v>
      </c>
      <c r="M1108" s="147">
        <v>121.83</v>
      </c>
      <c r="N1108" s="147">
        <v>386201</v>
      </c>
      <c r="O1108" s="147" t="s">
        <v>1138</v>
      </c>
      <c r="P1108" s="151">
        <f t="shared" si="38"/>
        <v>5.4994664696708107E-3</v>
      </c>
    </row>
    <row r="1109" spans="2:16" ht="14.25" customHeight="1">
      <c r="B1109" s="243">
        <v>330.75105305059731</v>
      </c>
      <c r="C1109" s="243">
        <v>331.9642750052929</v>
      </c>
      <c r="D1109" s="243">
        <v>327.77053927213251</v>
      </c>
      <c r="E1109" s="243">
        <v>327.84696270234951</v>
      </c>
      <c r="F1109" s="243">
        <v>5891751.2433192264</v>
      </c>
      <c r="G1109" s="243" t="s">
        <v>1139</v>
      </c>
      <c r="H1109" s="151">
        <f t="shared" si="37"/>
        <v>8.8580669599931383E-3</v>
      </c>
      <c r="J1109" s="147">
        <v>122.11</v>
      </c>
      <c r="K1109" s="147">
        <v>124.1</v>
      </c>
      <c r="L1109" s="147">
        <v>121.75</v>
      </c>
      <c r="M1109" s="147">
        <v>122.52</v>
      </c>
      <c r="N1109" s="147">
        <v>348531</v>
      </c>
      <c r="O1109" s="147" t="s">
        <v>1139</v>
      </c>
      <c r="P1109" s="151">
        <f t="shared" si="38"/>
        <v>-3.3463924257264299E-3</v>
      </c>
    </row>
    <row r="1110" spans="2:16" ht="14.25" customHeight="1">
      <c r="B1110" s="243">
        <v>322.841228023133</v>
      </c>
      <c r="C1110" s="243">
        <v>325.63068322605523</v>
      </c>
      <c r="D1110" s="243">
        <v>319.29709144681755</v>
      </c>
      <c r="E1110" s="243">
        <v>322.22984058139667</v>
      </c>
      <c r="F1110" s="243">
        <v>7415506.9772515446</v>
      </c>
      <c r="G1110" s="243" t="s">
        <v>1140</v>
      </c>
      <c r="H1110" s="151">
        <f t="shared" si="37"/>
        <v>1.8973644422044522E-3</v>
      </c>
      <c r="J1110" s="147">
        <v>120.14</v>
      </c>
      <c r="K1110" s="147">
        <v>122.45</v>
      </c>
      <c r="L1110" s="147">
        <v>117</v>
      </c>
      <c r="M1110" s="147">
        <v>117.23</v>
      </c>
      <c r="N1110" s="147">
        <v>604684</v>
      </c>
      <c r="O1110" s="147" t="s">
        <v>1140</v>
      </c>
      <c r="P1110" s="151">
        <f t="shared" si="38"/>
        <v>2.4822997526230406E-2</v>
      </c>
    </row>
    <row r="1111" spans="2:16" ht="14.25" customHeight="1">
      <c r="B1111" s="243">
        <v>322.00057029074554</v>
      </c>
      <c r="C1111" s="243">
        <v>325.60202443972378</v>
      </c>
      <c r="D1111" s="243">
        <v>319.61233809646285</v>
      </c>
      <c r="E1111" s="243">
        <v>325.25811900374714</v>
      </c>
      <c r="F1111" s="243">
        <v>9234727.0725174323</v>
      </c>
      <c r="G1111" s="243" t="s">
        <v>1141</v>
      </c>
      <c r="H1111" s="151">
        <f t="shared" si="37"/>
        <v>-1.0015272556391008E-2</v>
      </c>
      <c r="J1111" s="147">
        <v>116.09</v>
      </c>
      <c r="K1111" s="147">
        <v>119.51</v>
      </c>
      <c r="L1111" s="147">
        <v>114.86499999999999</v>
      </c>
      <c r="M1111" s="147">
        <v>118.92</v>
      </c>
      <c r="N1111" s="147">
        <v>403875</v>
      </c>
      <c r="O1111" s="147" t="s">
        <v>1141</v>
      </c>
      <c r="P1111" s="151">
        <f t="shared" si="38"/>
        <v>-2.3797510931718779E-2</v>
      </c>
    </row>
    <row r="1112" spans="2:16" ht="14.25" customHeight="1">
      <c r="B1112" s="243">
        <v>332.9386737405602</v>
      </c>
      <c r="C1112" s="243">
        <v>337.06553897228065</v>
      </c>
      <c r="D1112" s="243">
        <v>326.68150539153959</v>
      </c>
      <c r="E1112" s="243">
        <v>331.31467584844796</v>
      </c>
      <c r="F1112" s="243">
        <v>8256759.978031666</v>
      </c>
      <c r="G1112" s="243" t="s">
        <v>1142</v>
      </c>
      <c r="H1112" s="151">
        <f t="shared" si="37"/>
        <v>4.9016781039157298E-3</v>
      </c>
      <c r="J1112" s="147">
        <v>122.11</v>
      </c>
      <c r="K1112" s="147">
        <v>124.21</v>
      </c>
      <c r="L1112" s="147">
        <v>119.14</v>
      </c>
      <c r="M1112" s="147">
        <v>120.12</v>
      </c>
      <c r="N1112" s="147">
        <v>389292</v>
      </c>
      <c r="O1112" s="147" t="s">
        <v>1142</v>
      </c>
      <c r="P1112" s="151">
        <f t="shared" si="38"/>
        <v>1.6566766566766589E-2</v>
      </c>
    </row>
    <row r="1113" spans="2:16" ht="14.25" customHeight="1">
      <c r="B1113" s="243">
        <v>328.23863278221194</v>
      </c>
      <c r="C1113" s="243">
        <v>331.7923222873045</v>
      </c>
      <c r="D1113" s="243">
        <v>325.34409536274126</v>
      </c>
      <c r="E1113" s="243">
        <v>330.88479405347709</v>
      </c>
      <c r="F1113" s="243">
        <v>7939125.4524541209</v>
      </c>
      <c r="G1113" s="243" t="s">
        <v>1143</v>
      </c>
      <c r="H1113" s="151">
        <f t="shared" si="37"/>
        <v>-7.9972283973783753E-3</v>
      </c>
      <c r="J1113" s="147">
        <v>118.97</v>
      </c>
      <c r="K1113" s="147">
        <v>125.09</v>
      </c>
      <c r="L1113" s="147">
        <v>118.83</v>
      </c>
      <c r="M1113" s="147">
        <v>125.09</v>
      </c>
      <c r="N1113" s="147">
        <v>431644</v>
      </c>
      <c r="O1113" s="147" t="s">
        <v>1143</v>
      </c>
      <c r="P1113" s="151">
        <f t="shared" si="38"/>
        <v>-4.8924774162602991E-2</v>
      </c>
    </row>
    <row r="1114" spans="2:16" ht="14.25" customHeight="1">
      <c r="B1114" s="243">
        <v>329.06018465704511</v>
      </c>
      <c r="C1114" s="243">
        <v>335.15046334032928</v>
      </c>
      <c r="D1114" s="243">
        <v>327.72277462824684</v>
      </c>
      <c r="E1114" s="243">
        <v>333.50229653841092</v>
      </c>
      <c r="F1114" s="243">
        <v>10886407.972491557</v>
      </c>
      <c r="G1114" s="243" t="s">
        <v>1144</v>
      </c>
      <c r="H1114" s="151">
        <f t="shared" si="37"/>
        <v>-1.3319584085245362E-2</v>
      </c>
      <c r="J1114" s="147">
        <v>125.43</v>
      </c>
      <c r="K1114" s="147">
        <v>128.28</v>
      </c>
      <c r="L1114" s="147">
        <v>124.31</v>
      </c>
      <c r="M1114" s="147">
        <v>126.38</v>
      </c>
      <c r="N1114" s="147">
        <v>359253</v>
      </c>
      <c r="O1114" s="147" t="s">
        <v>1144</v>
      </c>
      <c r="P1114" s="151">
        <f t="shared" si="38"/>
        <v>-7.5170121854722938E-3</v>
      </c>
    </row>
    <row r="1115" spans="2:16" ht="14.25" customHeight="1">
      <c r="B1115" s="243">
        <v>342.25277929826268</v>
      </c>
      <c r="C1115" s="243">
        <v>347.43046669546754</v>
      </c>
      <c r="D1115" s="243">
        <v>342.21456758315418</v>
      </c>
      <c r="E1115" s="243">
        <v>346.7044441084056</v>
      </c>
      <c r="F1115" s="243">
        <v>7986757.9650181551</v>
      </c>
      <c r="G1115" s="243" t="s">
        <v>1145</v>
      </c>
      <c r="H1115" s="151">
        <f t="shared" si="37"/>
        <v>-1.2839941586531789E-2</v>
      </c>
      <c r="J1115" s="147">
        <v>131.56</v>
      </c>
      <c r="K1115" s="147">
        <v>133.29</v>
      </c>
      <c r="L1115" s="147">
        <v>129.6</v>
      </c>
      <c r="M1115" s="147">
        <v>131.05000000000001</v>
      </c>
      <c r="N1115" s="147">
        <v>336890</v>
      </c>
      <c r="O1115" s="147" t="s">
        <v>1145</v>
      </c>
      <c r="P1115" s="151">
        <f t="shared" si="38"/>
        <v>3.8916444105303594E-3</v>
      </c>
    </row>
    <row r="1116" spans="2:16" ht="14.25" customHeight="1">
      <c r="B1116" s="243">
        <v>352.5986011638953</v>
      </c>
      <c r="C1116" s="243">
        <v>361.52103664173535</v>
      </c>
      <c r="D1116" s="243">
        <v>352.52217773367818</v>
      </c>
      <c r="E1116" s="243">
        <v>359.41939231076663</v>
      </c>
      <c r="F1116" s="243">
        <v>3163405.7685371609</v>
      </c>
      <c r="G1116" s="243" t="s">
        <v>1146</v>
      </c>
      <c r="H1116" s="151">
        <f t="shared" si="37"/>
        <v>-1.8977248564745919E-2</v>
      </c>
      <c r="J1116" s="147">
        <v>133.74</v>
      </c>
      <c r="K1116" s="147">
        <v>139.76499999999999</v>
      </c>
      <c r="L1116" s="147">
        <v>133.71</v>
      </c>
      <c r="M1116" s="147">
        <v>139.03</v>
      </c>
      <c r="N1116" s="147">
        <v>186487</v>
      </c>
      <c r="O1116" s="147" t="s">
        <v>1146</v>
      </c>
      <c r="P1116" s="151">
        <f t="shared" si="38"/>
        <v>-3.8049341868661379E-2</v>
      </c>
    </row>
    <row r="1117" spans="2:16" ht="14.25" customHeight="1">
      <c r="B1117" s="243">
        <v>361.09115484676448</v>
      </c>
      <c r="C1117" s="243">
        <v>365.14159664826792</v>
      </c>
      <c r="D1117" s="243">
        <v>360.39379104603393</v>
      </c>
      <c r="E1117" s="243">
        <v>363.48893996982429</v>
      </c>
      <c r="F1117" s="243">
        <v>3597266.4301933097</v>
      </c>
      <c r="G1117" s="243" t="s">
        <v>1147</v>
      </c>
      <c r="H1117" s="151">
        <f t="shared" si="37"/>
        <v>-6.5965834428383108E-3</v>
      </c>
      <c r="J1117" s="147">
        <v>140.52000000000001</v>
      </c>
      <c r="K1117" s="147">
        <v>144</v>
      </c>
      <c r="L1117" s="147">
        <v>140.38</v>
      </c>
      <c r="M1117" s="147">
        <v>141.85</v>
      </c>
      <c r="N1117" s="147">
        <v>297492</v>
      </c>
      <c r="O1117" s="147" t="s">
        <v>1147</v>
      </c>
      <c r="P1117" s="151">
        <f t="shared" si="38"/>
        <v>-9.3761015156854643E-3</v>
      </c>
    </row>
    <row r="1118" spans="2:16" ht="14.25" customHeight="1">
      <c r="B1118" s="243">
        <v>365.08427907560514</v>
      </c>
      <c r="C1118" s="243">
        <v>365.50460794179889</v>
      </c>
      <c r="D1118" s="243">
        <v>357.95779420786556</v>
      </c>
      <c r="E1118" s="243">
        <v>358.38767600283649</v>
      </c>
      <c r="F1118" s="243">
        <v>2773868.6865787539</v>
      </c>
      <c r="G1118" s="243" t="s">
        <v>1148</v>
      </c>
      <c r="H1118" s="151">
        <f t="shared" si="37"/>
        <v>1.8685360912677362E-2</v>
      </c>
      <c r="J1118" s="147">
        <v>141.85</v>
      </c>
      <c r="K1118" s="147">
        <v>143.02000000000001</v>
      </c>
      <c r="L1118" s="147">
        <v>138.80000000000001</v>
      </c>
      <c r="M1118" s="147">
        <v>138.80000000000001</v>
      </c>
      <c r="N1118" s="147">
        <v>548309</v>
      </c>
      <c r="O1118" s="147" t="s">
        <v>1148</v>
      </c>
      <c r="P1118" s="151">
        <f t="shared" si="38"/>
        <v>2.1974063400576282E-2</v>
      </c>
    </row>
    <row r="1119" spans="2:16" ht="14.25" customHeight="1">
      <c r="B1119" s="243">
        <v>361.5496954280668</v>
      </c>
      <c r="C1119" s="243">
        <v>365.83896044899842</v>
      </c>
      <c r="D1119" s="243">
        <v>360.53708497769094</v>
      </c>
      <c r="E1119" s="243">
        <v>364.28183305832613</v>
      </c>
      <c r="F1119" s="243">
        <v>2783944.1306907646</v>
      </c>
      <c r="G1119" s="243" t="s">
        <v>1149</v>
      </c>
      <c r="H1119" s="151">
        <f t="shared" si="37"/>
        <v>-7.5000655600134802E-3</v>
      </c>
      <c r="J1119" s="147">
        <v>139.93</v>
      </c>
      <c r="K1119" s="147">
        <v>143.29</v>
      </c>
      <c r="L1119" s="147">
        <v>138.59</v>
      </c>
      <c r="M1119" s="147">
        <v>143.29</v>
      </c>
      <c r="N1119" s="147">
        <v>279989</v>
      </c>
      <c r="O1119" s="147" t="s">
        <v>1149</v>
      </c>
      <c r="P1119" s="151">
        <f t="shared" si="38"/>
        <v>-2.3448949682462028E-2</v>
      </c>
    </row>
    <row r="1120" spans="2:16" ht="14.25" customHeight="1">
      <c r="B1120" s="243">
        <v>360.56574376402227</v>
      </c>
      <c r="C1120" s="243">
        <v>363.58446925759563</v>
      </c>
      <c r="D1120" s="243">
        <v>359.64866260141775</v>
      </c>
      <c r="E1120" s="243">
        <v>362.16108286980312</v>
      </c>
      <c r="F1120" s="243">
        <v>2878214.6963999844</v>
      </c>
      <c r="G1120" s="243" t="s">
        <v>1150</v>
      </c>
      <c r="H1120" s="151">
        <f t="shared" si="37"/>
        <v>-4.4050539421276458E-3</v>
      </c>
      <c r="J1120" s="147">
        <v>140.99</v>
      </c>
      <c r="K1120" s="147">
        <v>144.77000000000001</v>
      </c>
      <c r="L1120" s="147">
        <v>139.72</v>
      </c>
      <c r="M1120" s="147">
        <v>144.19</v>
      </c>
      <c r="N1120" s="147">
        <v>196669</v>
      </c>
      <c r="O1120" s="147" t="s">
        <v>1150</v>
      </c>
      <c r="P1120" s="151">
        <f t="shared" si="38"/>
        <v>-2.2192939871003459E-2</v>
      </c>
    </row>
    <row r="1121" spans="2:16" ht="14.25" customHeight="1">
      <c r="B1121" s="243">
        <v>366.49811253462042</v>
      </c>
      <c r="C1121" s="243">
        <v>366.58408889361465</v>
      </c>
      <c r="D1121" s="243">
        <v>357.47059484023191</v>
      </c>
      <c r="E1121" s="243">
        <v>359.58179209997786</v>
      </c>
      <c r="F1121" s="243">
        <v>3426929.1401367262</v>
      </c>
      <c r="G1121" s="243" t="s">
        <v>1151</v>
      </c>
      <c r="H1121" s="151">
        <f t="shared" si="37"/>
        <v>1.9234345527483043E-2</v>
      </c>
      <c r="J1121" s="147">
        <v>146</v>
      </c>
      <c r="K1121" s="147">
        <v>146.84</v>
      </c>
      <c r="L1121" s="147">
        <v>139.11000000000001</v>
      </c>
      <c r="M1121" s="147">
        <v>141.68</v>
      </c>
      <c r="N1121" s="147">
        <v>551945</v>
      </c>
      <c r="O1121" s="147" t="s">
        <v>1151</v>
      </c>
      <c r="P1121" s="151">
        <f t="shared" si="38"/>
        <v>3.0491247882552086E-2</v>
      </c>
    </row>
    <row r="1122" spans="2:16" ht="14.25" customHeight="1">
      <c r="B1122" s="243">
        <v>359.66776845897198</v>
      </c>
      <c r="C1122" s="243">
        <v>365.53326672813023</v>
      </c>
      <c r="D1122" s="243">
        <v>357.37506555246063</v>
      </c>
      <c r="E1122" s="243">
        <v>364.54931506408582</v>
      </c>
      <c r="F1122" s="243">
        <v>4444519.6850669421</v>
      </c>
      <c r="G1122" s="243" t="s">
        <v>1152</v>
      </c>
      <c r="H1122" s="151">
        <f t="shared" si="37"/>
        <v>-1.3390634417337122E-2</v>
      </c>
      <c r="J1122" s="147">
        <v>141.27000000000001</v>
      </c>
      <c r="K1122" s="147">
        <v>148.94999999999999</v>
      </c>
      <c r="L1122" s="147">
        <v>136.33000000000001</v>
      </c>
      <c r="M1122" s="147">
        <v>147.81</v>
      </c>
      <c r="N1122" s="147">
        <v>584103</v>
      </c>
      <c r="O1122" s="147" t="s">
        <v>1152</v>
      </c>
      <c r="P1122" s="151">
        <f t="shared" si="38"/>
        <v>-4.4245991475542867E-2</v>
      </c>
    </row>
    <row r="1123" spans="2:16" ht="14.25" customHeight="1">
      <c r="B1123" s="243">
        <v>362.70559981009956</v>
      </c>
      <c r="C1123" s="243">
        <v>365.73387823245002</v>
      </c>
      <c r="D1123" s="243">
        <v>360.06899146761151</v>
      </c>
      <c r="E1123" s="243">
        <v>363.23101089284177</v>
      </c>
      <c r="F1123" s="243">
        <v>5251283.7864020327</v>
      </c>
      <c r="G1123" s="243" t="s">
        <v>1153</v>
      </c>
      <c r="H1123" s="151">
        <f t="shared" si="37"/>
        <v>-1.4464929121847936E-3</v>
      </c>
      <c r="J1123" s="147">
        <v>146.91999999999999</v>
      </c>
      <c r="K1123" s="147">
        <v>149.99</v>
      </c>
      <c r="L1123" s="147">
        <v>145.81</v>
      </c>
      <c r="M1123" s="147">
        <v>148.01</v>
      </c>
      <c r="N1123" s="147">
        <v>454011</v>
      </c>
      <c r="O1123" s="147" t="s">
        <v>1153</v>
      </c>
      <c r="P1123" s="151">
        <f t="shared" si="38"/>
        <v>-7.3643672724815756E-3</v>
      </c>
    </row>
    <row r="1124" spans="2:16" ht="14.25" customHeight="1">
      <c r="B1124" s="243">
        <v>364.73082071085128</v>
      </c>
      <c r="C1124" s="243">
        <v>364.78813828351406</v>
      </c>
      <c r="D1124" s="243">
        <v>358.04377056685979</v>
      </c>
      <c r="E1124" s="243">
        <v>358.17751156973958</v>
      </c>
      <c r="F1124" s="243">
        <v>4094859.3790049437</v>
      </c>
      <c r="G1124" s="243" t="s">
        <v>1154</v>
      </c>
      <c r="H1124" s="151">
        <f t="shared" si="37"/>
        <v>1.8296260735050973E-2</v>
      </c>
      <c r="J1124" s="147">
        <v>149.38</v>
      </c>
      <c r="K1124" s="147">
        <v>149.43</v>
      </c>
      <c r="L1124" s="147">
        <v>142.26</v>
      </c>
      <c r="M1124" s="147">
        <v>143.54</v>
      </c>
      <c r="N1124" s="147">
        <v>223343</v>
      </c>
      <c r="O1124" s="147" t="s">
        <v>1154</v>
      </c>
      <c r="P1124" s="151">
        <f t="shared" si="38"/>
        <v>4.0685523199108342E-2</v>
      </c>
    </row>
    <row r="1125" spans="2:16" ht="14.25" customHeight="1">
      <c r="B1125" s="243">
        <v>355.80838523301117</v>
      </c>
      <c r="C1125" s="243">
        <v>357.40372433879202</v>
      </c>
      <c r="D1125" s="243">
        <v>349.89512231996724</v>
      </c>
      <c r="E1125" s="243">
        <v>350.06229857356703</v>
      </c>
      <c r="F1125" s="243">
        <v>4447068.6415773574</v>
      </c>
      <c r="G1125" s="243" t="s">
        <v>1155</v>
      </c>
      <c r="H1125" s="151">
        <f t="shared" si="37"/>
        <v>1.6414468747015132E-2</v>
      </c>
      <c r="J1125" s="147">
        <v>141.91999999999999</v>
      </c>
      <c r="K1125" s="147">
        <v>145.13999999999999</v>
      </c>
      <c r="L1125" s="147">
        <v>141.80000000000001</v>
      </c>
      <c r="M1125" s="147">
        <v>144.02000000000001</v>
      </c>
      <c r="N1125" s="147">
        <v>127156</v>
      </c>
      <c r="O1125" s="147" t="s">
        <v>1155</v>
      </c>
      <c r="P1125" s="151">
        <f t="shared" si="38"/>
        <v>-1.4581308151645711E-2</v>
      </c>
    </row>
    <row r="1126" spans="2:16" ht="14.25" customHeight="1">
      <c r="B1126" s="243">
        <v>348.87295894081427</v>
      </c>
      <c r="C1126" s="243">
        <v>350.74533298113192</v>
      </c>
      <c r="D1126" s="243">
        <v>344.16336505368878</v>
      </c>
      <c r="E1126" s="243">
        <v>344.42129413067136</v>
      </c>
      <c r="F1126" s="243">
        <v>5971571.7902728934</v>
      </c>
      <c r="G1126" s="243" t="s">
        <v>1156</v>
      </c>
      <c r="H1126" s="151">
        <f t="shared" si="37"/>
        <v>1.2925056859155681E-2</v>
      </c>
      <c r="J1126" s="147">
        <v>143.16999999999999</v>
      </c>
      <c r="K1126" s="147">
        <v>144</v>
      </c>
      <c r="L1126" s="147">
        <v>140.12</v>
      </c>
      <c r="M1126" s="147">
        <v>140.12</v>
      </c>
      <c r="N1126" s="147">
        <v>230689</v>
      </c>
      <c r="O1126" s="147" t="s">
        <v>1156</v>
      </c>
      <c r="P1126" s="151">
        <f t="shared" si="38"/>
        <v>2.1767056808449814E-2</v>
      </c>
    </row>
    <row r="1127" spans="2:16" ht="14.25" customHeight="1">
      <c r="B1127" s="243">
        <v>345.98797445012082</v>
      </c>
      <c r="C1127" s="243">
        <v>346.97192611416523</v>
      </c>
      <c r="D1127" s="243">
        <v>339.79767660254009</v>
      </c>
      <c r="E1127" s="243">
        <v>344.71743492276244</v>
      </c>
      <c r="F1127" s="243">
        <v>5827847.2810640661</v>
      </c>
      <c r="G1127" s="243" t="s">
        <v>1157</v>
      </c>
      <c r="H1127" s="151">
        <f t="shared" si="37"/>
        <v>3.6857419980600437E-3</v>
      </c>
      <c r="J1127" s="147">
        <v>140.05000000000001</v>
      </c>
      <c r="K1127" s="147">
        <v>140.66</v>
      </c>
      <c r="L1127" s="147">
        <v>134.6</v>
      </c>
      <c r="M1127" s="147">
        <v>139.32</v>
      </c>
      <c r="N1127" s="147">
        <v>236286</v>
      </c>
      <c r="O1127" s="147" t="s">
        <v>1157</v>
      </c>
      <c r="P1127" s="151">
        <f t="shared" si="38"/>
        <v>5.2397358598910149E-3</v>
      </c>
    </row>
    <row r="1128" spans="2:16" ht="14.25" customHeight="1">
      <c r="B1128" s="243">
        <v>348.50039471850619</v>
      </c>
      <c r="C1128" s="243">
        <v>349.22641730556808</v>
      </c>
      <c r="D1128" s="243">
        <v>342.80684916733628</v>
      </c>
      <c r="E1128" s="243">
        <v>344.94670521341351</v>
      </c>
      <c r="F1128" s="243">
        <v>5500841.8073628098</v>
      </c>
      <c r="G1128" s="243" t="s">
        <v>1158</v>
      </c>
      <c r="H1128" s="151">
        <f t="shared" si="37"/>
        <v>1.0302140740535704E-2</v>
      </c>
      <c r="J1128" s="147">
        <v>142.49</v>
      </c>
      <c r="K1128" s="147">
        <v>143.58000000000001</v>
      </c>
      <c r="L1128" s="147">
        <v>139.25</v>
      </c>
      <c r="M1128" s="147">
        <v>143.05000000000001</v>
      </c>
      <c r="N1128" s="147">
        <v>267966</v>
      </c>
      <c r="O1128" s="147" t="s">
        <v>1158</v>
      </c>
      <c r="P1128" s="151">
        <f t="shared" si="38"/>
        <v>-3.914715134568314E-3</v>
      </c>
    </row>
    <row r="1129" spans="2:16" ht="14.25" customHeight="1">
      <c r="B1129" s="243">
        <v>342.01395607883438</v>
      </c>
      <c r="C1129" s="243">
        <v>345.7682570882468</v>
      </c>
      <c r="D1129" s="243">
        <v>334.12323690892441</v>
      </c>
      <c r="E1129" s="243">
        <v>345.25239893428176</v>
      </c>
      <c r="F1129" s="243">
        <v>9165624.7045001686</v>
      </c>
      <c r="G1129" s="243" t="s">
        <v>1159</v>
      </c>
      <c r="H1129" s="151">
        <f t="shared" si="37"/>
        <v>-9.3799286129327974E-3</v>
      </c>
      <c r="J1129" s="147">
        <v>141.97</v>
      </c>
      <c r="K1129" s="147">
        <v>143.81</v>
      </c>
      <c r="L1129" s="147">
        <v>136.59</v>
      </c>
      <c r="M1129" s="147">
        <v>143.81</v>
      </c>
      <c r="N1129" s="147">
        <v>306089</v>
      </c>
      <c r="O1129" s="147" t="s">
        <v>1159</v>
      </c>
      <c r="P1129" s="151">
        <f t="shared" si="38"/>
        <v>-1.2794659620332438E-2</v>
      </c>
    </row>
    <row r="1130" spans="2:16" ht="14.25" customHeight="1">
      <c r="B1130" s="243">
        <v>341.92797971984021</v>
      </c>
      <c r="C1130" s="243">
        <v>346.03573909400649</v>
      </c>
      <c r="D1130" s="243">
        <v>339.94097053419705</v>
      </c>
      <c r="E1130" s="243">
        <v>341.20195713277832</v>
      </c>
      <c r="F1130" s="243">
        <v>6657096.6332590003</v>
      </c>
      <c r="G1130" s="243" t="s">
        <v>1160</v>
      </c>
      <c r="H1130" s="151">
        <f t="shared" si="37"/>
        <v>2.1278382842901955E-3</v>
      </c>
      <c r="J1130" s="147">
        <v>142.35</v>
      </c>
      <c r="K1130" s="147">
        <v>148.28</v>
      </c>
      <c r="L1130" s="147">
        <v>142.03</v>
      </c>
      <c r="M1130" s="147">
        <v>143.51</v>
      </c>
      <c r="N1130" s="147">
        <v>353428</v>
      </c>
      <c r="O1130" s="147" t="s">
        <v>1160</v>
      </c>
      <c r="P1130" s="151">
        <f t="shared" si="38"/>
        <v>-8.0830604139083828E-3</v>
      </c>
    </row>
    <row r="1131" spans="2:16" ht="14.25" customHeight="1">
      <c r="B1131" s="243">
        <v>344.23023555512873</v>
      </c>
      <c r="C1131" s="243">
        <v>354.56650449198423</v>
      </c>
      <c r="D1131" s="243">
        <v>342.95014309899324</v>
      </c>
      <c r="E1131" s="243">
        <v>354.39455177399583</v>
      </c>
      <c r="F1131" s="243">
        <v>7205716.8650507983</v>
      </c>
      <c r="G1131" s="243" t="s">
        <v>1161</v>
      </c>
      <c r="H1131" s="151">
        <f t="shared" si="37"/>
        <v>-2.8680791417327045E-2</v>
      </c>
      <c r="J1131" s="147">
        <v>144.51</v>
      </c>
      <c r="K1131" s="147">
        <v>150</v>
      </c>
      <c r="L1131" s="147">
        <v>143.27010000000001</v>
      </c>
      <c r="M1131" s="147">
        <v>147.91999999999999</v>
      </c>
      <c r="N1131" s="147">
        <v>400032</v>
      </c>
      <c r="O1131" s="147" t="s">
        <v>1161</v>
      </c>
      <c r="P1131" s="151">
        <f t="shared" si="38"/>
        <v>-2.3053001622498681E-2</v>
      </c>
    </row>
    <row r="1132" spans="2:16" ht="14.25" customHeight="1">
      <c r="B1132" s="243">
        <v>358.42588771794499</v>
      </c>
      <c r="C1132" s="243">
        <v>358.76979315392168</v>
      </c>
      <c r="D1132" s="243">
        <v>353.53478818405404</v>
      </c>
      <c r="E1132" s="243">
        <v>356.95473668626687</v>
      </c>
      <c r="F1132" s="243">
        <v>4724529.1002322268</v>
      </c>
      <c r="G1132" s="243" t="s">
        <v>1162</v>
      </c>
      <c r="H1132" s="151">
        <f t="shared" si="37"/>
        <v>4.1213937804420731E-3</v>
      </c>
      <c r="J1132" s="147">
        <v>150.82</v>
      </c>
      <c r="K1132" s="147">
        <v>150.99</v>
      </c>
      <c r="L1132" s="147">
        <v>142.41</v>
      </c>
      <c r="M1132" s="147">
        <v>144.05000000000001</v>
      </c>
      <c r="N1132" s="147">
        <v>448099</v>
      </c>
      <c r="O1132" s="147" t="s">
        <v>1162</v>
      </c>
      <c r="P1132" s="151">
        <f t="shared" si="38"/>
        <v>4.6997570288094259E-2</v>
      </c>
    </row>
    <row r="1133" spans="2:16" ht="14.25" customHeight="1">
      <c r="B1133" s="243">
        <v>351.39493213797675</v>
      </c>
      <c r="C1133" s="243">
        <v>354.74801013874969</v>
      </c>
      <c r="D1133" s="243">
        <v>349.11178216024251</v>
      </c>
      <c r="E1133" s="243">
        <v>351.27074406387408</v>
      </c>
      <c r="F1133" s="243">
        <v>4940725.624689131</v>
      </c>
      <c r="G1133" s="243" t="s">
        <v>1163</v>
      </c>
      <c r="H1133" s="151">
        <f t="shared" si="37"/>
        <v>3.5353947404193065E-4</v>
      </c>
      <c r="J1133" s="147">
        <v>140.38</v>
      </c>
      <c r="K1133" s="147">
        <v>146</v>
      </c>
      <c r="L1133" s="147">
        <v>140.005</v>
      </c>
      <c r="M1133" s="147">
        <v>141.91999999999999</v>
      </c>
      <c r="N1133" s="147">
        <v>235583</v>
      </c>
      <c r="O1133" s="147" t="s">
        <v>1163</v>
      </c>
      <c r="P1133" s="151">
        <f t="shared" si="38"/>
        <v>-1.0851183765501649E-2</v>
      </c>
    </row>
    <row r="1134" spans="2:16" ht="14.25" customHeight="1">
      <c r="B1134" s="243">
        <v>352.65591873655808</v>
      </c>
      <c r="C1134" s="243">
        <v>354.01243462291058</v>
      </c>
      <c r="D1134" s="243">
        <v>347.38423052018618</v>
      </c>
      <c r="E1134" s="243">
        <v>348.42397128828912</v>
      </c>
      <c r="F1134" s="243">
        <v>5629097.7620113064</v>
      </c>
      <c r="G1134" s="243" t="s">
        <v>1164</v>
      </c>
      <c r="H1134" s="151">
        <f t="shared" si="37"/>
        <v>1.2145970992240906E-2</v>
      </c>
      <c r="J1134" s="147">
        <v>143.25</v>
      </c>
      <c r="K1134" s="147">
        <v>145.16</v>
      </c>
      <c r="L1134" s="147">
        <v>138.54</v>
      </c>
      <c r="M1134" s="147">
        <v>139.18</v>
      </c>
      <c r="N1134" s="147">
        <v>407805</v>
      </c>
      <c r="O1134" s="147" t="s">
        <v>1164</v>
      </c>
      <c r="P1134" s="151">
        <f t="shared" si="38"/>
        <v>2.9242707285529468E-2</v>
      </c>
    </row>
    <row r="1135" spans="2:16" ht="14.25" customHeight="1">
      <c r="B1135" s="243">
        <v>344.52637634721975</v>
      </c>
      <c r="C1135" s="243">
        <v>347.48778426813033</v>
      </c>
      <c r="D1135" s="243">
        <v>338.19278456798207</v>
      </c>
      <c r="E1135" s="243">
        <v>341.83722689645748</v>
      </c>
      <c r="F1135" s="243">
        <v>8038620.5939101502</v>
      </c>
      <c r="G1135" s="243" t="s">
        <v>1165</v>
      </c>
      <c r="H1135" s="151">
        <f t="shared" si="37"/>
        <v>7.866754230301698E-3</v>
      </c>
      <c r="J1135" s="147">
        <v>135.80000000000001</v>
      </c>
      <c r="K1135" s="147">
        <v>137.88999999999999</v>
      </c>
      <c r="L1135" s="147">
        <v>130.96</v>
      </c>
      <c r="M1135" s="147">
        <v>133.33000000000001</v>
      </c>
      <c r="N1135" s="147">
        <v>320271</v>
      </c>
      <c r="O1135" s="147" t="s">
        <v>1165</v>
      </c>
      <c r="P1135" s="151">
        <f t="shared" si="38"/>
        <v>1.8525463136578324E-2</v>
      </c>
    </row>
    <row r="1136" spans="2:16" ht="14.25" customHeight="1">
      <c r="B1136" s="243">
        <v>344.79385835297944</v>
      </c>
      <c r="C1136" s="243">
        <v>354.7575630675268</v>
      </c>
      <c r="D1136" s="243">
        <v>344.16336505368878</v>
      </c>
      <c r="E1136" s="243">
        <v>349.60853445665339</v>
      </c>
      <c r="F1136" s="243">
        <v>8402600.0688041691</v>
      </c>
      <c r="G1136" s="243" t="s">
        <v>1166</v>
      </c>
      <c r="H1136" s="151">
        <f t="shared" si="37"/>
        <v>-1.3771620624641545E-2</v>
      </c>
      <c r="J1136" s="147">
        <v>134.09</v>
      </c>
      <c r="K1136" s="147">
        <v>143.89500000000001</v>
      </c>
      <c r="L1136" s="147">
        <v>133.9</v>
      </c>
      <c r="M1136" s="147">
        <v>140.62</v>
      </c>
      <c r="N1136" s="147">
        <v>506175</v>
      </c>
      <c r="O1136" s="147" t="s">
        <v>1166</v>
      </c>
      <c r="P1136" s="151">
        <f t="shared" si="38"/>
        <v>-4.6437206656236629E-2</v>
      </c>
    </row>
    <row r="1137" spans="2:16" ht="14.25" customHeight="1">
      <c r="B1137" s="243">
        <v>350.43963926026368</v>
      </c>
      <c r="C1137" s="243">
        <v>356.53440782007317</v>
      </c>
      <c r="D1137" s="243">
        <v>346.68533825085137</v>
      </c>
      <c r="E1137" s="243">
        <v>355.27342122149184</v>
      </c>
      <c r="F1137" s="243">
        <v>8239096.2851541527</v>
      </c>
      <c r="G1137" s="243" t="s">
        <v>1167</v>
      </c>
      <c r="H1137" s="151">
        <f t="shared" si="37"/>
        <v>-1.3605808012906784E-2</v>
      </c>
      <c r="J1137" s="147">
        <v>141.11000000000001</v>
      </c>
      <c r="K1137" s="147">
        <v>142.46</v>
      </c>
      <c r="L1137" s="147">
        <v>131.72</v>
      </c>
      <c r="M1137" s="147">
        <v>139.1</v>
      </c>
      <c r="N1137" s="147">
        <v>674172</v>
      </c>
      <c r="O1137" s="147" t="s">
        <v>1167</v>
      </c>
      <c r="P1137" s="151">
        <f t="shared" si="38"/>
        <v>1.4450035945363204E-2</v>
      </c>
    </row>
    <row r="1138" spans="2:16" ht="14.25" customHeight="1">
      <c r="B1138" s="243">
        <v>349.54166395521338</v>
      </c>
      <c r="C1138" s="243">
        <v>356.85920739849558</v>
      </c>
      <c r="D1138" s="243">
        <v>348.20425392641511</v>
      </c>
      <c r="E1138" s="243">
        <v>355.71285594523988</v>
      </c>
      <c r="F1138" s="243">
        <v>11298346.561358746</v>
      </c>
      <c r="G1138" s="243" t="s">
        <v>1168</v>
      </c>
      <c r="H1138" s="151">
        <f t="shared" si="37"/>
        <v>-1.7348802234396943E-2</v>
      </c>
      <c r="J1138" s="147">
        <v>136.24</v>
      </c>
      <c r="K1138" s="147">
        <v>149.44999999999999</v>
      </c>
      <c r="L1138" s="147">
        <v>133.79</v>
      </c>
      <c r="M1138" s="147">
        <v>147.88999999999999</v>
      </c>
      <c r="N1138" s="147">
        <v>492548</v>
      </c>
      <c r="O1138" s="147" t="s">
        <v>1168</v>
      </c>
      <c r="P1138" s="151">
        <f t="shared" si="38"/>
        <v>-7.8774765028061244E-2</v>
      </c>
    </row>
    <row r="1139" spans="2:16" ht="14.25" customHeight="1">
      <c r="B1139" s="243">
        <v>361.19623706331294</v>
      </c>
      <c r="C1139" s="243">
        <v>364.23406841444046</v>
      </c>
      <c r="D1139" s="243">
        <v>356.27647874309059</v>
      </c>
      <c r="E1139" s="243">
        <v>361.1102607043187</v>
      </c>
      <c r="F1139" s="243">
        <v>8332153.6103723776</v>
      </c>
      <c r="G1139" s="243" t="s">
        <v>1169</v>
      </c>
      <c r="H1139" s="151">
        <f t="shared" si="37"/>
        <v>2.3808893944621268E-4</v>
      </c>
      <c r="J1139" s="147">
        <v>150.07</v>
      </c>
      <c r="K1139" s="147">
        <v>152.94999999999999</v>
      </c>
      <c r="L1139" s="147">
        <v>142.72499999999999</v>
      </c>
      <c r="M1139" s="147">
        <v>152.94999999999999</v>
      </c>
      <c r="N1139" s="147">
        <v>708389</v>
      </c>
      <c r="O1139" s="147" t="s">
        <v>1169</v>
      </c>
      <c r="P1139" s="151">
        <f t="shared" si="38"/>
        <v>-1.8829682902909428E-2</v>
      </c>
    </row>
    <row r="1140" spans="2:16" ht="14.25" customHeight="1">
      <c r="B1140" s="243">
        <v>363.47938704104718</v>
      </c>
      <c r="C1140" s="243">
        <v>372.86036310018955</v>
      </c>
      <c r="D1140" s="243">
        <v>359.52447452731508</v>
      </c>
      <c r="E1140" s="243">
        <v>372.77438674119537</v>
      </c>
      <c r="F1140" s="243">
        <v>10967582.031054245</v>
      </c>
      <c r="G1140" s="243" t="s">
        <v>1170</v>
      </c>
      <c r="H1140" s="151">
        <f t="shared" si="37"/>
        <v>-2.4934652247450173E-2</v>
      </c>
      <c r="J1140" s="147">
        <v>153.74</v>
      </c>
      <c r="K1140" s="147">
        <v>168.76</v>
      </c>
      <c r="L1140" s="147">
        <v>151.42500000000001</v>
      </c>
      <c r="M1140" s="147">
        <v>168.76</v>
      </c>
      <c r="N1140" s="147">
        <v>398428</v>
      </c>
      <c r="O1140" s="147" t="s">
        <v>1170</v>
      </c>
      <c r="P1140" s="151">
        <f t="shared" si="38"/>
        <v>-8.9002133206920964E-2</v>
      </c>
    </row>
    <row r="1141" spans="2:16" ht="14.25" customHeight="1">
      <c r="B1141" s="243">
        <v>376.71019339737319</v>
      </c>
      <c r="C1141" s="243">
        <v>377.2690397308354</v>
      </c>
      <c r="D1141" s="243">
        <v>363.27877553672738</v>
      </c>
      <c r="E1141" s="243">
        <v>366.21152467130656</v>
      </c>
      <c r="F1141" s="243">
        <v>7712343.6925831232</v>
      </c>
      <c r="G1141" s="243" t="s">
        <v>1171</v>
      </c>
      <c r="H1141" s="151">
        <f t="shared" si="37"/>
        <v>2.866831876874909E-2</v>
      </c>
      <c r="J1141" s="147">
        <v>170.88</v>
      </c>
      <c r="K1141" s="147">
        <v>174</v>
      </c>
      <c r="L1141" s="147">
        <v>160.75</v>
      </c>
      <c r="M1141" s="147">
        <v>169.66</v>
      </c>
      <c r="N1141" s="147">
        <v>600962</v>
      </c>
      <c r="O1141" s="147" t="s">
        <v>1171</v>
      </c>
      <c r="P1141" s="151">
        <f t="shared" si="38"/>
        <v>7.190852292821015E-3</v>
      </c>
    </row>
    <row r="1142" spans="2:16" ht="14.25" customHeight="1">
      <c r="B1142" s="243">
        <v>365.61924308712446</v>
      </c>
      <c r="C1142" s="243">
        <v>367.84087220353399</v>
      </c>
      <c r="D1142" s="243">
        <v>363.01129353096775</v>
      </c>
      <c r="E1142" s="243">
        <v>364.55886799286293</v>
      </c>
      <c r="F1142" s="243">
        <v>5870132.7423528638</v>
      </c>
      <c r="G1142" s="243" t="s">
        <v>1172</v>
      </c>
      <c r="H1142" s="151">
        <f t="shared" si="37"/>
        <v>2.9086525863424306E-3</v>
      </c>
      <c r="J1142" s="147">
        <v>174.15</v>
      </c>
      <c r="K1142" s="147">
        <v>179.72</v>
      </c>
      <c r="L1142" s="147">
        <v>170.78</v>
      </c>
      <c r="M1142" s="147">
        <v>177.03</v>
      </c>
      <c r="N1142" s="147">
        <v>302309</v>
      </c>
      <c r="O1142" s="147" t="s">
        <v>1172</v>
      </c>
      <c r="P1142" s="151">
        <f t="shared" si="38"/>
        <v>-1.626842907981696E-2</v>
      </c>
    </row>
    <row r="1143" spans="2:16" ht="14.25" customHeight="1">
      <c r="B1143" s="243">
        <v>364.04300983889783</v>
      </c>
      <c r="C1143" s="243">
        <v>365.17980836337642</v>
      </c>
      <c r="D1143" s="243">
        <v>355.68419715890849</v>
      </c>
      <c r="E1143" s="243">
        <v>361.85538914893493</v>
      </c>
      <c r="F1143" s="243">
        <v>11239504.920945216</v>
      </c>
      <c r="G1143" s="243" t="s">
        <v>1173</v>
      </c>
      <c r="H1143" s="151">
        <f t="shared" si="37"/>
        <v>6.0455661448295395E-3</v>
      </c>
      <c r="J1143" s="147">
        <v>177.2</v>
      </c>
      <c r="K1143" s="147">
        <v>178.55</v>
      </c>
      <c r="L1143" s="147">
        <v>170.23</v>
      </c>
      <c r="M1143" s="147">
        <v>172.28</v>
      </c>
      <c r="N1143" s="147">
        <v>242616</v>
      </c>
      <c r="O1143" s="147" t="s">
        <v>1173</v>
      </c>
      <c r="P1143" s="151">
        <f t="shared" si="38"/>
        <v>2.8558161133039217E-2</v>
      </c>
    </row>
    <row r="1144" spans="2:16" ht="14.25" customHeight="1">
      <c r="B1144" s="243">
        <v>361.76941278994076</v>
      </c>
      <c r="C1144" s="243">
        <v>373.94939698078241</v>
      </c>
      <c r="D1144" s="243">
        <v>361.10070777554159</v>
      </c>
      <c r="E1144" s="243">
        <v>372.01015243902492</v>
      </c>
      <c r="F1144" s="243">
        <v>8606725.9495150372</v>
      </c>
      <c r="G1144" s="243" t="s">
        <v>1174</v>
      </c>
      <c r="H1144" s="151">
        <f t="shared" si="37"/>
        <v>-2.7528118740691387E-2</v>
      </c>
      <c r="J1144" s="147">
        <v>172.56</v>
      </c>
      <c r="K1144" s="147">
        <v>179.27</v>
      </c>
      <c r="L1144" s="147">
        <v>172.36</v>
      </c>
      <c r="M1144" s="147">
        <v>174.24</v>
      </c>
      <c r="N1144" s="147">
        <v>211150</v>
      </c>
      <c r="O1144" s="147" t="s">
        <v>1174</v>
      </c>
      <c r="P1144" s="151">
        <f t="shared" si="38"/>
        <v>-9.6418732782369565E-3</v>
      </c>
    </row>
    <row r="1145" spans="2:16" ht="14.25" customHeight="1">
      <c r="B1145" s="243">
        <v>375.56384194411754</v>
      </c>
      <c r="C1145" s="243">
        <v>377.24515740889251</v>
      </c>
      <c r="D1145" s="243">
        <v>366.70827696771732</v>
      </c>
      <c r="E1145" s="243">
        <v>370.87335391454639</v>
      </c>
      <c r="F1145" s="243">
        <v>7365481.4812859464</v>
      </c>
      <c r="G1145" s="243" t="s">
        <v>1175</v>
      </c>
      <c r="H1145" s="151">
        <f t="shared" si="37"/>
        <v>1.2647142157999003E-2</v>
      </c>
      <c r="J1145" s="147">
        <v>175.07</v>
      </c>
      <c r="K1145" s="147">
        <v>177.0778</v>
      </c>
      <c r="L1145" s="147">
        <v>166.64500000000001</v>
      </c>
      <c r="M1145" s="147">
        <v>174.44</v>
      </c>
      <c r="N1145" s="147">
        <v>263711</v>
      </c>
      <c r="O1145" s="147" t="s">
        <v>1175</v>
      </c>
      <c r="P1145" s="151">
        <f t="shared" si="38"/>
        <v>3.6115569823433891E-3</v>
      </c>
    </row>
    <row r="1146" spans="2:16" ht="14.25" customHeight="1">
      <c r="B1146" s="243">
        <v>366.38347738929485</v>
      </c>
      <c r="C1146" s="243">
        <v>371.37010621095715</v>
      </c>
      <c r="D1146" s="243">
        <v>364.44423284753736</v>
      </c>
      <c r="E1146" s="243">
        <v>366.35481860296352</v>
      </c>
      <c r="F1146" s="243">
        <v>6715952.9288639668</v>
      </c>
      <c r="G1146" s="243" t="s">
        <v>1176</v>
      </c>
      <c r="H1146" s="151">
        <f t="shared" si="37"/>
        <v>7.8226857887608858E-5</v>
      </c>
      <c r="J1146" s="147">
        <v>171.84</v>
      </c>
      <c r="K1146" s="147">
        <v>181.42</v>
      </c>
      <c r="L1146" s="147">
        <v>171.11</v>
      </c>
      <c r="M1146" s="147">
        <v>179.35</v>
      </c>
      <c r="N1146" s="147">
        <v>238808</v>
      </c>
      <c r="O1146" s="147" t="s">
        <v>1176</v>
      </c>
      <c r="P1146" s="151">
        <f t="shared" si="38"/>
        <v>-4.1873431837189834E-2</v>
      </c>
    </row>
    <row r="1147" spans="2:16" ht="14.25" customHeight="1">
      <c r="B1147" s="243">
        <v>365.437737440359</v>
      </c>
      <c r="C1147" s="243">
        <v>374.08313798366225</v>
      </c>
      <c r="D1147" s="243">
        <v>365.34220815258766</v>
      </c>
      <c r="E1147" s="243">
        <v>373.90163233689674</v>
      </c>
      <c r="F1147" s="243">
        <v>8890450.45570926</v>
      </c>
      <c r="G1147" s="243" t="s">
        <v>1177</v>
      </c>
      <c r="H1147" s="151">
        <f t="shared" si="37"/>
        <v>-2.263668880940195E-2</v>
      </c>
      <c r="J1147" s="147">
        <v>179.64</v>
      </c>
      <c r="K1147" s="147">
        <v>187.03</v>
      </c>
      <c r="L1147" s="147">
        <v>179.36500000000001</v>
      </c>
      <c r="M1147" s="147">
        <v>184.65</v>
      </c>
      <c r="N1147" s="147">
        <v>246854</v>
      </c>
      <c r="O1147" s="147" t="s">
        <v>1177</v>
      </c>
      <c r="P1147" s="151">
        <f t="shared" si="38"/>
        <v>-2.7132412672624007E-2</v>
      </c>
    </row>
    <row r="1148" spans="2:16" ht="14.25" customHeight="1">
      <c r="B1148" s="243">
        <v>376.19433524340815</v>
      </c>
      <c r="C1148" s="243">
        <v>376.44118292300925</v>
      </c>
      <c r="D1148" s="243">
        <v>367.78775791953314</v>
      </c>
      <c r="E1148" s="243">
        <v>372.01015243902492</v>
      </c>
      <c r="F1148" s="243">
        <v>8522184.3373203129</v>
      </c>
      <c r="G1148" s="243" t="s">
        <v>1178</v>
      </c>
      <c r="H1148" s="151">
        <f t="shared" si="37"/>
        <v>1.1247496276513669E-2</v>
      </c>
      <c r="J1148" s="147">
        <v>187.55</v>
      </c>
      <c r="K1148" s="147">
        <v>191.5</v>
      </c>
      <c r="L1148" s="147">
        <v>182.99</v>
      </c>
      <c r="M1148" s="147">
        <v>185.01</v>
      </c>
      <c r="N1148" s="147">
        <v>251641</v>
      </c>
      <c r="O1148" s="147" t="s">
        <v>1178</v>
      </c>
      <c r="P1148" s="151">
        <f t="shared" si="38"/>
        <v>1.37289876222908E-2</v>
      </c>
    </row>
    <row r="1149" spans="2:16" ht="14.25" customHeight="1">
      <c r="B1149" s="243">
        <v>374.15000848510221</v>
      </c>
      <c r="C1149" s="243">
        <v>383.91787815971833</v>
      </c>
      <c r="D1149" s="243">
        <v>373.61504447358288</v>
      </c>
      <c r="E1149" s="243">
        <v>383.71249019101003</v>
      </c>
      <c r="F1149" s="243">
        <v>6622510.3814708609</v>
      </c>
      <c r="G1149" s="243" t="s">
        <v>1179</v>
      </c>
      <c r="H1149" s="151">
        <f t="shared" si="37"/>
        <v>-2.4920955012821433E-2</v>
      </c>
      <c r="J1149" s="147">
        <v>186.79</v>
      </c>
      <c r="K1149" s="147">
        <v>196.61</v>
      </c>
      <c r="L1149" s="147">
        <v>186.38</v>
      </c>
      <c r="M1149" s="147">
        <v>196.18</v>
      </c>
      <c r="N1149" s="147">
        <v>218678</v>
      </c>
      <c r="O1149" s="147" t="s">
        <v>1179</v>
      </c>
      <c r="P1149" s="151">
        <f t="shared" si="38"/>
        <v>-4.7864206341115323E-2</v>
      </c>
    </row>
    <row r="1150" spans="2:16" ht="14.25" customHeight="1">
      <c r="B1150" s="243">
        <v>384.64867721116883</v>
      </c>
      <c r="C1150" s="243">
        <v>395.18555765234407</v>
      </c>
      <c r="D1150" s="243">
        <v>383.83667826511277</v>
      </c>
      <c r="E1150" s="243">
        <v>393.94367691131703</v>
      </c>
      <c r="F1150" s="243">
        <v>4888713.3034846131</v>
      </c>
      <c r="G1150" s="243" t="s">
        <v>1180</v>
      </c>
      <c r="H1150" s="151">
        <f t="shared" si="37"/>
        <v>-2.3594742713031636E-2</v>
      </c>
      <c r="J1150" s="147">
        <v>197.4</v>
      </c>
      <c r="K1150" s="147">
        <v>209.79</v>
      </c>
      <c r="L1150" s="147">
        <v>195.42</v>
      </c>
      <c r="M1150" s="147">
        <v>207.29</v>
      </c>
      <c r="N1150" s="147">
        <v>190756</v>
      </c>
      <c r="O1150" s="147" t="s">
        <v>1180</v>
      </c>
      <c r="P1150" s="151">
        <f t="shared" si="38"/>
        <v>-4.7710936369337542E-2</v>
      </c>
    </row>
    <row r="1151" spans="2:16" ht="14.25" customHeight="1">
      <c r="B1151" s="243">
        <v>390.43775205011008</v>
      </c>
      <c r="C1151" s="243">
        <v>392.99793696238112</v>
      </c>
      <c r="D1151" s="243">
        <v>389.4442474572885</v>
      </c>
      <c r="E1151" s="243">
        <v>392.45342002208463</v>
      </c>
      <c r="F1151" s="243">
        <v>5304283.2394296797</v>
      </c>
      <c r="G1151" s="243" t="s">
        <v>1181</v>
      </c>
      <c r="H1151" s="151">
        <f t="shared" si="37"/>
        <v>-5.1360693247650691E-3</v>
      </c>
      <c r="J1151" s="147">
        <v>204.2</v>
      </c>
      <c r="K1151" s="147">
        <v>209.542</v>
      </c>
      <c r="L1151" s="147">
        <v>203.11</v>
      </c>
      <c r="M1151" s="147">
        <v>207.72</v>
      </c>
      <c r="N1151" s="147">
        <v>222188</v>
      </c>
      <c r="O1151" s="147" t="s">
        <v>1181</v>
      </c>
      <c r="P1151" s="151">
        <f t="shared" si="38"/>
        <v>-1.6945888696322076E-2</v>
      </c>
    </row>
    <row r="1152" spans="2:16" ht="14.25" customHeight="1">
      <c r="B1152" s="243">
        <v>390.7338928422011</v>
      </c>
      <c r="C1152" s="243">
        <v>391.45036250048594</v>
      </c>
      <c r="D1152" s="243">
        <v>384.37164227663209</v>
      </c>
      <c r="E1152" s="243">
        <v>384.58180670972894</v>
      </c>
      <c r="F1152" s="243">
        <v>4021290.3179979706</v>
      </c>
      <c r="G1152" s="243" t="s">
        <v>1182</v>
      </c>
      <c r="H1152" s="151">
        <f t="shared" si="37"/>
        <v>1.5996820507724996E-2</v>
      </c>
      <c r="J1152" s="147">
        <v>207.74</v>
      </c>
      <c r="K1152" s="147">
        <v>208.23</v>
      </c>
      <c r="L1152" s="147">
        <v>195.5</v>
      </c>
      <c r="M1152" s="147">
        <v>195.5</v>
      </c>
      <c r="N1152" s="147">
        <v>322156</v>
      </c>
      <c r="O1152" s="147" t="s">
        <v>1182</v>
      </c>
      <c r="P1152" s="151">
        <f t="shared" si="38"/>
        <v>6.2608695652173862E-2</v>
      </c>
    </row>
    <row r="1153" spans="2:16" ht="14.25" customHeight="1">
      <c r="B1153" s="243">
        <v>384.59135963850605</v>
      </c>
      <c r="C1153" s="243">
        <v>386.1484870291784</v>
      </c>
      <c r="D1153" s="243">
        <v>382.53747995142294</v>
      </c>
      <c r="E1153" s="243">
        <v>383.59785504568447</v>
      </c>
      <c r="F1153" s="243">
        <v>4507379.9883320061</v>
      </c>
      <c r="G1153" s="243" t="s">
        <v>1183</v>
      </c>
      <c r="H1153" s="151">
        <f t="shared" si="37"/>
        <v>2.5899638899264943E-3</v>
      </c>
      <c r="J1153" s="147">
        <v>193.45</v>
      </c>
      <c r="K1153" s="147">
        <v>199.125</v>
      </c>
      <c r="L1153" s="147">
        <v>191.85</v>
      </c>
      <c r="M1153" s="147">
        <v>197.58</v>
      </c>
      <c r="N1153" s="147">
        <v>181762</v>
      </c>
      <c r="O1153" s="147" t="s">
        <v>1183</v>
      </c>
      <c r="P1153" s="151">
        <f t="shared" si="38"/>
        <v>-2.0902925397307537E-2</v>
      </c>
    </row>
    <row r="1154" spans="2:16" ht="14.25" customHeight="1">
      <c r="B1154" s="243">
        <v>384.52448913706615</v>
      </c>
      <c r="C1154" s="243">
        <v>390.50462255154997</v>
      </c>
      <c r="D1154" s="243">
        <v>384.35253641907775</v>
      </c>
      <c r="E1154" s="243">
        <v>389.49201210117417</v>
      </c>
      <c r="F1154" s="243">
        <v>3910506.4919389356</v>
      </c>
      <c r="G1154" s="243" t="s">
        <v>1184</v>
      </c>
      <c r="H1154" s="151">
        <f t="shared" si="37"/>
        <v>-1.2753850681840539E-2</v>
      </c>
      <c r="J1154" s="147">
        <v>197.74</v>
      </c>
      <c r="K1154" s="147">
        <v>205.44</v>
      </c>
      <c r="L1154" s="147">
        <v>197.48</v>
      </c>
      <c r="M1154" s="147">
        <v>204.4</v>
      </c>
      <c r="N1154" s="147">
        <v>211397</v>
      </c>
      <c r="O1154" s="147" t="s">
        <v>1184</v>
      </c>
      <c r="P1154" s="151">
        <f t="shared" si="38"/>
        <v>-3.258317025440316E-2</v>
      </c>
    </row>
    <row r="1155" spans="2:16" ht="14.25" customHeight="1">
      <c r="B1155" s="243">
        <v>389.25318888174587</v>
      </c>
      <c r="C1155" s="243">
        <v>389.95055268247643</v>
      </c>
      <c r="D1155" s="243">
        <v>384.48627742195765</v>
      </c>
      <c r="E1155" s="243">
        <v>384.57225378095183</v>
      </c>
      <c r="F1155" s="243">
        <v>4562694.9616064867</v>
      </c>
      <c r="G1155" s="243" t="s">
        <v>1185</v>
      </c>
      <c r="H1155" s="151">
        <f t="shared" si="37"/>
        <v>1.2171796209354824E-2</v>
      </c>
      <c r="J1155" s="147">
        <v>203.9</v>
      </c>
      <c r="K1155" s="147">
        <v>205.27</v>
      </c>
      <c r="L1155" s="147">
        <v>199.05</v>
      </c>
      <c r="M1155" s="147">
        <v>200.67</v>
      </c>
      <c r="N1155" s="147">
        <v>221565</v>
      </c>
      <c r="O1155" s="147" t="s">
        <v>1185</v>
      </c>
      <c r="P1155" s="151">
        <f t="shared" si="38"/>
        <v>1.6096078138237102E-2</v>
      </c>
    </row>
    <row r="1156" spans="2:16" ht="14.25" customHeight="1">
      <c r="B1156" s="243">
        <v>384.90660628815141</v>
      </c>
      <c r="C1156" s="243">
        <v>391.39304492782315</v>
      </c>
      <c r="D1156" s="243">
        <v>383.42590232769612</v>
      </c>
      <c r="E1156" s="243">
        <v>389.11944787886603</v>
      </c>
      <c r="F1156" s="243">
        <v>6925429.0012482358</v>
      </c>
      <c r="G1156" s="243" t="s">
        <v>1186</v>
      </c>
      <c r="H1156" s="151">
        <f t="shared" si="37"/>
        <v>-1.0826602509022121E-2</v>
      </c>
      <c r="J1156" s="147">
        <v>199.67</v>
      </c>
      <c r="K1156" s="147">
        <v>206.9</v>
      </c>
      <c r="L1156" s="147">
        <v>197.48</v>
      </c>
      <c r="M1156" s="147">
        <v>203.56</v>
      </c>
      <c r="N1156" s="147">
        <v>227094</v>
      </c>
      <c r="O1156" s="147" t="s">
        <v>1186</v>
      </c>
      <c r="P1156" s="151">
        <f t="shared" si="38"/>
        <v>-1.9109844763214867E-2</v>
      </c>
    </row>
    <row r="1157" spans="2:16" ht="14.25" customHeight="1">
      <c r="B1157" s="243">
        <v>386.32043974716669</v>
      </c>
      <c r="C1157" s="243">
        <v>390.77134032300745</v>
      </c>
      <c r="D1157" s="243">
        <v>385.86667563025304</v>
      </c>
      <c r="E1157" s="243">
        <v>390.23714054579034</v>
      </c>
      <c r="F1157" s="243">
        <v>3499224.2462881859</v>
      </c>
      <c r="G1157" s="243" t="s">
        <v>1187</v>
      </c>
      <c r="H1157" s="151">
        <f t="shared" si="37"/>
        <v>-1.0036719706242536E-2</v>
      </c>
      <c r="J1157" s="147">
        <v>200.39</v>
      </c>
      <c r="K1157" s="147">
        <v>223.9</v>
      </c>
      <c r="L1157" s="147">
        <v>199.72</v>
      </c>
      <c r="M1157" s="147">
        <v>214.86</v>
      </c>
      <c r="N1157" s="147">
        <v>285495</v>
      </c>
      <c r="O1157" s="147" t="s">
        <v>1187</v>
      </c>
      <c r="P1157" s="151">
        <f t="shared" si="38"/>
        <v>-6.734617890719552E-2</v>
      </c>
    </row>
    <row r="1158" spans="2:16" ht="14.25" customHeight="1">
      <c r="B1158" s="243">
        <v>393.13167796526091</v>
      </c>
      <c r="C1158" s="243">
        <v>395.70141580630911</v>
      </c>
      <c r="D1158" s="243">
        <v>391.65097400480568</v>
      </c>
      <c r="E1158" s="243">
        <v>393.43737168612915</v>
      </c>
      <c r="F1158" s="243">
        <v>4975240.6941188676</v>
      </c>
      <c r="G1158" s="243" t="s">
        <v>1188</v>
      </c>
      <c r="H1158" s="151">
        <f t="shared" si="37"/>
        <v>-7.7698191089003998E-4</v>
      </c>
      <c r="J1158" s="147">
        <v>217.93</v>
      </c>
      <c r="K1158" s="147">
        <v>223.86</v>
      </c>
      <c r="L1158" s="147">
        <v>213.17500000000001</v>
      </c>
      <c r="M1158" s="147">
        <v>218.2</v>
      </c>
      <c r="N1158" s="147">
        <v>325056</v>
      </c>
      <c r="O1158" s="147" t="s">
        <v>1188</v>
      </c>
      <c r="P1158" s="151">
        <f t="shared" si="38"/>
        <v>-1.2373968835929228E-3</v>
      </c>
    </row>
    <row r="1159" spans="2:16" ht="14.25" customHeight="1">
      <c r="B1159" s="243">
        <v>394.08697084297398</v>
      </c>
      <c r="C1159" s="243">
        <v>395.77783923652618</v>
      </c>
      <c r="D1159" s="243">
        <v>389.51111795872839</v>
      </c>
      <c r="E1159" s="243">
        <v>391.28796271127476</v>
      </c>
      <c r="F1159" s="243">
        <v>5185899.6498118713</v>
      </c>
      <c r="G1159" s="243" t="s">
        <v>1189</v>
      </c>
      <c r="H1159" s="151">
        <f t="shared" si="37"/>
        <v>7.1533203124998224E-3</v>
      </c>
      <c r="J1159" s="147">
        <v>219.09</v>
      </c>
      <c r="K1159" s="147">
        <v>220.27</v>
      </c>
      <c r="L1159" s="147">
        <v>211.30500000000001</v>
      </c>
      <c r="M1159" s="147">
        <v>211.43</v>
      </c>
      <c r="N1159" s="147">
        <v>239412</v>
      </c>
      <c r="O1159" s="147" t="s">
        <v>1189</v>
      </c>
      <c r="P1159" s="151">
        <f t="shared" si="38"/>
        <v>3.6229484935912604E-2</v>
      </c>
    </row>
    <row r="1160" spans="2:16" ht="14.25" customHeight="1">
      <c r="B1160" s="243">
        <v>392.10951458610793</v>
      </c>
      <c r="C1160" s="243">
        <v>394.21115891707672</v>
      </c>
      <c r="D1160" s="243">
        <v>389.41558867095705</v>
      </c>
      <c r="E1160" s="243">
        <v>392.39610244942185</v>
      </c>
      <c r="F1160" s="243">
        <v>5800018.1193271512</v>
      </c>
      <c r="G1160" s="243" t="s">
        <v>1190</v>
      </c>
      <c r="H1160" s="151">
        <f t="shared" si="37"/>
        <v>-7.3035349108963032E-4</v>
      </c>
      <c r="J1160" s="147">
        <v>212.82</v>
      </c>
      <c r="K1160" s="147">
        <v>217.92</v>
      </c>
      <c r="L1160" s="147">
        <v>209.76</v>
      </c>
      <c r="M1160" s="147">
        <v>217.92</v>
      </c>
      <c r="N1160" s="147">
        <v>330638</v>
      </c>
      <c r="O1160" s="147" t="s">
        <v>1190</v>
      </c>
      <c r="P1160" s="151">
        <f t="shared" si="38"/>
        <v>-2.340308370044053E-2</v>
      </c>
    </row>
    <row r="1161" spans="2:16" ht="14.25" customHeight="1">
      <c r="B1161" s="243">
        <v>396.12174467250287</v>
      </c>
      <c r="C1161" s="243">
        <v>402.0063487992154</v>
      </c>
      <c r="D1161" s="243">
        <v>395.01360493435573</v>
      </c>
      <c r="E1161" s="243">
        <v>399.84738689558384</v>
      </c>
      <c r="F1161" s="243">
        <v>4304473.6289084628</v>
      </c>
      <c r="G1161" s="243" t="s">
        <v>1191</v>
      </c>
      <c r="H1161" s="151">
        <f t="shared" si="37"/>
        <v>-9.317660550458684E-3</v>
      </c>
      <c r="J1161" s="147">
        <v>222.48</v>
      </c>
      <c r="K1161" s="147">
        <v>222.74</v>
      </c>
      <c r="L1161" s="147">
        <v>214.37</v>
      </c>
      <c r="M1161" s="147">
        <v>220.8</v>
      </c>
      <c r="N1161" s="147">
        <v>332736</v>
      </c>
      <c r="O1161" s="147" t="s">
        <v>1191</v>
      </c>
      <c r="P1161" s="151">
        <f t="shared" si="38"/>
        <v>7.6086956521739246E-3</v>
      </c>
    </row>
    <row r="1162" spans="2:16" ht="14.25" customHeight="1">
      <c r="B1162" s="243">
        <v>401.07971470783372</v>
      </c>
      <c r="C1162" s="243">
        <v>401.18479692438211</v>
      </c>
      <c r="D1162" s="243">
        <v>397.13435512287873</v>
      </c>
      <c r="E1162" s="243">
        <v>397.83171892360923</v>
      </c>
      <c r="F1162" s="243">
        <v>5356690.2040035715</v>
      </c>
      <c r="G1162" s="243" t="s">
        <v>1192</v>
      </c>
      <c r="H1162" s="151">
        <f t="shared" ref="H1162:H1225" si="39">B1162/E1162-1</f>
        <v>8.1642454076120696E-3</v>
      </c>
      <c r="J1162" s="147">
        <v>220.94</v>
      </c>
      <c r="K1162" s="147">
        <v>229.44</v>
      </c>
      <c r="L1162" s="147">
        <v>218.82</v>
      </c>
      <c r="M1162" s="147">
        <v>226.85</v>
      </c>
      <c r="N1162" s="147">
        <v>220945</v>
      </c>
      <c r="O1162" s="147" t="s">
        <v>1192</v>
      </c>
      <c r="P1162" s="151">
        <f t="shared" ref="P1162:P1225" si="40">J1162/M1162-1</f>
        <v>-2.605245757108221E-2</v>
      </c>
    </row>
    <row r="1163" spans="2:16" ht="14.25" customHeight="1">
      <c r="B1163" s="243">
        <v>397.70753084950655</v>
      </c>
      <c r="C1163" s="243">
        <v>398.18326670260768</v>
      </c>
      <c r="D1163" s="243">
        <v>394.41177042139645</v>
      </c>
      <c r="E1163" s="243">
        <v>398.05143628548325</v>
      </c>
      <c r="F1163" s="243">
        <v>4881295.6830193968</v>
      </c>
      <c r="G1163" s="243" t="s">
        <v>1193</v>
      </c>
      <c r="H1163" s="151">
        <f t="shared" si="39"/>
        <v>-8.6397235288471208E-4</v>
      </c>
      <c r="J1163" s="147">
        <v>227.33</v>
      </c>
      <c r="K1163" s="147">
        <v>228.01</v>
      </c>
      <c r="L1163" s="147">
        <v>220.58</v>
      </c>
      <c r="M1163" s="147">
        <v>221.71</v>
      </c>
      <c r="N1163" s="147">
        <v>273075</v>
      </c>
      <c r="O1163" s="147" t="s">
        <v>1193</v>
      </c>
      <c r="P1163" s="151">
        <f t="shared" si="40"/>
        <v>2.5348428126832356E-2</v>
      </c>
    </row>
    <row r="1164" spans="2:16" ht="14.25" customHeight="1">
      <c r="B1164" s="243">
        <v>396.60894404013652</v>
      </c>
      <c r="C1164" s="243">
        <v>402.81834774527152</v>
      </c>
      <c r="D1164" s="243">
        <v>396.49430889481096</v>
      </c>
      <c r="E1164" s="243">
        <v>402.14964273087236</v>
      </c>
      <c r="F1164" s="243">
        <v>6151662.1102299038</v>
      </c>
      <c r="G1164" s="243" t="s">
        <v>1194</v>
      </c>
      <c r="H1164" s="151">
        <f t="shared" si="39"/>
        <v>-1.3777703874385372E-2</v>
      </c>
      <c r="J1164" s="147">
        <v>222.13</v>
      </c>
      <c r="K1164" s="147">
        <v>228.19</v>
      </c>
      <c r="L1164" s="147">
        <v>216.11</v>
      </c>
      <c r="M1164" s="147">
        <v>216.11</v>
      </c>
      <c r="N1164" s="147">
        <v>252196</v>
      </c>
      <c r="O1164" s="147" t="s">
        <v>1194</v>
      </c>
      <c r="P1164" s="151">
        <f t="shared" si="40"/>
        <v>2.785618435056203E-2</v>
      </c>
    </row>
    <row r="1165" spans="2:16" ht="14.25" customHeight="1">
      <c r="B1165" s="243">
        <v>402.79924188771724</v>
      </c>
      <c r="C1165" s="243">
        <v>405.05373307912009</v>
      </c>
      <c r="D1165" s="243">
        <v>400.83133855962831</v>
      </c>
      <c r="E1165" s="243">
        <v>404.33726342083526</v>
      </c>
      <c r="F1165" s="243">
        <v>5018705.8983182348</v>
      </c>
      <c r="G1165" s="243" t="s">
        <v>1195</v>
      </c>
      <c r="H1165" s="151">
        <f t="shared" si="39"/>
        <v>-3.8038085337617211E-3</v>
      </c>
      <c r="J1165" s="147">
        <v>216.86</v>
      </c>
      <c r="K1165" s="147">
        <v>217.34</v>
      </c>
      <c r="L1165" s="147">
        <v>213.36</v>
      </c>
      <c r="M1165" s="147">
        <v>215.85</v>
      </c>
      <c r="N1165" s="147">
        <v>212687</v>
      </c>
      <c r="O1165" s="147" t="s">
        <v>1195</v>
      </c>
      <c r="P1165" s="151">
        <f t="shared" si="40"/>
        <v>4.6791753532546831E-3</v>
      </c>
    </row>
    <row r="1166" spans="2:16" ht="14.25" customHeight="1">
      <c r="B1166" s="243">
        <v>405.32121508487978</v>
      </c>
      <c r="C1166" s="243">
        <v>405.73199102229643</v>
      </c>
      <c r="D1166" s="243">
        <v>401.46183185891891</v>
      </c>
      <c r="E1166" s="243">
        <v>404.05067555752134</v>
      </c>
      <c r="F1166" s="243">
        <v>5768444.5561784273</v>
      </c>
      <c r="G1166" s="243" t="s">
        <v>1196</v>
      </c>
      <c r="H1166" s="151">
        <f t="shared" si="39"/>
        <v>3.1445053905807541E-3</v>
      </c>
      <c r="J1166" s="147">
        <v>215.86</v>
      </c>
      <c r="K1166" s="147">
        <v>217.07</v>
      </c>
      <c r="L1166" s="147">
        <v>207.65</v>
      </c>
      <c r="M1166" s="147">
        <v>208.55</v>
      </c>
      <c r="N1166" s="147">
        <v>389175</v>
      </c>
      <c r="O1166" s="147" t="s">
        <v>1196</v>
      </c>
      <c r="P1166" s="151">
        <f t="shared" si="40"/>
        <v>3.5051546391752675E-2</v>
      </c>
    </row>
    <row r="1167" spans="2:16" ht="14.25" customHeight="1">
      <c r="B1167" s="243">
        <v>400.25816283300048</v>
      </c>
      <c r="C1167" s="243">
        <v>400.31548040566327</v>
      </c>
      <c r="D1167" s="243">
        <v>395.19511058112118</v>
      </c>
      <c r="E1167" s="243">
        <v>396.92419068978182</v>
      </c>
      <c r="F1167" s="243">
        <v>3554233.5541412937</v>
      </c>
      <c r="G1167" s="243" t="s">
        <v>1197</v>
      </c>
      <c r="H1167" s="151">
        <f t="shared" si="39"/>
        <v>8.3995186522263232E-3</v>
      </c>
      <c r="J1167" s="147">
        <v>204.33</v>
      </c>
      <c r="K1167" s="147">
        <v>209.3</v>
      </c>
      <c r="L1167" s="147">
        <v>202.245</v>
      </c>
      <c r="M1167" s="147">
        <v>205.41</v>
      </c>
      <c r="N1167" s="147">
        <v>484988</v>
      </c>
      <c r="O1167" s="147" t="s">
        <v>1197</v>
      </c>
      <c r="P1167" s="151">
        <f t="shared" si="40"/>
        <v>-5.257777128669372E-3</v>
      </c>
    </row>
    <row r="1168" spans="2:16" ht="14.25" customHeight="1">
      <c r="B1168" s="243">
        <v>397.51647227396393</v>
      </c>
      <c r="C1168" s="243">
        <v>397.74392750814741</v>
      </c>
      <c r="D1168" s="243">
        <v>393.77650065771724</v>
      </c>
      <c r="E1168" s="243">
        <v>396.2459327466056</v>
      </c>
      <c r="F1168" s="243">
        <v>3813757.1052783141</v>
      </c>
      <c r="G1168" s="243" t="s">
        <v>1198</v>
      </c>
      <c r="H1168" s="151">
        <f t="shared" si="39"/>
        <v>3.2064418139297057E-3</v>
      </c>
      <c r="J1168" s="147">
        <v>202.54</v>
      </c>
      <c r="K1168" s="147">
        <v>206.52</v>
      </c>
      <c r="L1168" s="147">
        <v>199.15</v>
      </c>
      <c r="M1168" s="147">
        <v>206.52</v>
      </c>
      <c r="N1168" s="147">
        <v>229432</v>
      </c>
      <c r="O1168" s="147" t="s">
        <v>1198</v>
      </c>
      <c r="P1168" s="151">
        <f t="shared" si="40"/>
        <v>-1.9271741235715734E-2</v>
      </c>
    </row>
    <row r="1169" spans="2:16" ht="14.25" customHeight="1">
      <c r="B1169" s="243">
        <v>395.51035723076649</v>
      </c>
      <c r="C1169" s="243">
        <v>395.58678066098355</v>
      </c>
      <c r="D1169" s="243">
        <v>390.53328133788136</v>
      </c>
      <c r="E1169" s="243">
        <v>391.5649976458115</v>
      </c>
      <c r="F1169" s="243">
        <v>3116653.6142586544</v>
      </c>
      <c r="G1169" s="243" t="s">
        <v>1199</v>
      </c>
      <c r="H1169" s="151">
        <f t="shared" si="39"/>
        <v>1.0075874014979558E-2</v>
      </c>
      <c r="J1169" s="147">
        <v>205.68</v>
      </c>
      <c r="K1169" s="147">
        <v>208.19</v>
      </c>
      <c r="L1169" s="147">
        <v>203.215</v>
      </c>
      <c r="M1169" s="147">
        <v>208.19</v>
      </c>
      <c r="N1169" s="147">
        <v>263169</v>
      </c>
      <c r="O1169" s="147" t="s">
        <v>1199</v>
      </c>
      <c r="P1169" s="151">
        <f t="shared" si="40"/>
        <v>-1.2056294730774741E-2</v>
      </c>
    </row>
    <row r="1170" spans="2:16" ht="14.25" customHeight="1">
      <c r="B1170" s="243">
        <v>389.71774780817771</v>
      </c>
      <c r="C1170" s="243">
        <v>393.80220078767371</v>
      </c>
      <c r="D1170" s="243">
        <v>389.67966433051345</v>
      </c>
      <c r="E1170" s="243">
        <v>392.41215385292685</v>
      </c>
      <c r="F1170" s="243">
        <v>3930904.6647370933</v>
      </c>
      <c r="G1170" s="243" t="s">
        <v>1200</v>
      </c>
      <c r="H1170" s="151">
        <f t="shared" si="39"/>
        <v>-6.8662655279504436E-3</v>
      </c>
      <c r="J1170" s="147">
        <v>206.5</v>
      </c>
      <c r="K1170" s="147">
        <v>210.56</v>
      </c>
      <c r="L1170" s="147">
        <v>204.53</v>
      </c>
      <c r="M1170" s="147">
        <v>210.27</v>
      </c>
      <c r="N1170" s="147">
        <v>104510</v>
      </c>
      <c r="O1170" s="147" t="s">
        <v>1200</v>
      </c>
      <c r="P1170" s="151">
        <f t="shared" si="40"/>
        <v>-1.7929328958006474E-2</v>
      </c>
    </row>
    <row r="1171" spans="2:16" ht="14.25" customHeight="1">
      <c r="B1171" s="243">
        <v>394.80189207636153</v>
      </c>
      <c r="C1171" s="243">
        <v>395.61116597672782</v>
      </c>
      <c r="D1171" s="243">
        <v>391.49815038898367</v>
      </c>
      <c r="E1171" s="243">
        <v>391.49815038898367</v>
      </c>
      <c r="F1171" s="243">
        <v>4444672.8707941398</v>
      </c>
      <c r="G1171" s="243" t="s">
        <v>1201</v>
      </c>
      <c r="H1171" s="151">
        <f t="shared" si="39"/>
        <v>8.438715953307474E-3</v>
      </c>
      <c r="J1171" s="147">
        <v>212.81</v>
      </c>
      <c r="K1171" s="147">
        <v>216.59</v>
      </c>
      <c r="L1171" s="147">
        <v>209.71</v>
      </c>
      <c r="M1171" s="147">
        <v>212.12</v>
      </c>
      <c r="N1171" s="147">
        <v>131082</v>
      </c>
      <c r="O1171" s="147" t="s">
        <v>1201</v>
      </c>
      <c r="P1171" s="151">
        <f t="shared" si="40"/>
        <v>3.2528757307184186E-3</v>
      </c>
    </row>
    <row r="1172" spans="2:16" ht="14.25" customHeight="1">
      <c r="B1172" s="243">
        <v>390.26995823431008</v>
      </c>
      <c r="C1172" s="243">
        <v>392.02179820686774</v>
      </c>
      <c r="D1172" s="243">
        <v>386.95669567751611</v>
      </c>
      <c r="E1172" s="243">
        <v>390.20331214839752</v>
      </c>
      <c r="F1172" s="243">
        <v>4368815.3027047561</v>
      </c>
      <c r="G1172" s="243" t="s">
        <v>1202</v>
      </c>
      <c r="H1172" s="151">
        <f t="shared" si="39"/>
        <v>1.7079836033584428E-4</v>
      </c>
      <c r="J1172" s="147">
        <v>210.65</v>
      </c>
      <c r="K1172" s="147">
        <v>216.28</v>
      </c>
      <c r="L1172" s="147">
        <v>207.27</v>
      </c>
      <c r="M1172" s="147">
        <v>213.08</v>
      </c>
      <c r="N1172" s="147">
        <v>78337</v>
      </c>
      <c r="O1172" s="147" t="s">
        <v>1202</v>
      </c>
      <c r="P1172" s="151">
        <f t="shared" si="40"/>
        <v>-1.1404167448845537E-2</v>
      </c>
    </row>
    <row r="1173" spans="2:16" ht="14.25" customHeight="1">
      <c r="B1173" s="243">
        <v>390.2509164954779</v>
      </c>
      <c r="C1173" s="243">
        <v>390.62223040270482</v>
      </c>
      <c r="D1173" s="243">
        <v>383.91953833378835</v>
      </c>
      <c r="E1173" s="243">
        <v>384.62408267057788</v>
      </c>
      <c r="F1173" s="243">
        <v>6170637.0954747116</v>
      </c>
      <c r="G1173" s="243" t="s">
        <v>1203</v>
      </c>
      <c r="H1173" s="151">
        <f t="shared" si="39"/>
        <v>1.4629437100846632E-2</v>
      </c>
      <c r="J1173" s="147">
        <v>215.57</v>
      </c>
      <c r="K1173" s="147">
        <v>218.7</v>
      </c>
      <c r="L1173" s="147">
        <v>208.95500000000001</v>
      </c>
      <c r="M1173" s="147">
        <v>210.17</v>
      </c>
      <c r="N1173" s="147">
        <v>212639</v>
      </c>
      <c r="O1173" s="147" t="s">
        <v>1203</v>
      </c>
      <c r="P1173" s="151">
        <f t="shared" si="40"/>
        <v>2.5693486225436546E-2</v>
      </c>
    </row>
    <row r="1174" spans="2:16" ht="14.25" customHeight="1">
      <c r="B1174" s="243">
        <v>385.98556699707655</v>
      </c>
      <c r="C1174" s="243">
        <v>386.12838003831763</v>
      </c>
      <c r="D1174" s="243">
        <v>379.21622884224757</v>
      </c>
      <c r="E1174" s="243">
        <v>379.53993840239406</v>
      </c>
      <c r="F1174" s="243">
        <v>5438082.1474754727</v>
      </c>
      <c r="G1174" s="243" t="s">
        <v>1204</v>
      </c>
      <c r="H1174" s="151">
        <f t="shared" si="39"/>
        <v>1.6982741320489714E-2</v>
      </c>
      <c r="J1174" s="147">
        <v>210.56</v>
      </c>
      <c r="K1174" s="147">
        <v>210.68</v>
      </c>
      <c r="L1174" s="147">
        <v>194.73</v>
      </c>
      <c r="M1174" s="147">
        <v>199.93</v>
      </c>
      <c r="N1174" s="147">
        <v>205937</v>
      </c>
      <c r="O1174" s="147" t="s">
        <v>1204</v>
      </c>
      <c r="P1174" s="151">
        <f t="shared" si="40"/>
        <v>5.3168609013154677E-2</v>
      </c>
    </row>
    <row r="1175" spans="2:16" ht="14.25" customHeight="1">
      <c r="B1175" s="243">
        <v>381.32034098320003</v>
      </c>
      <c r="C1175" s="243">
        <v>381.35842446086434</v>
      </c>
      <c r="D1175" s="243">
        <v>371.83755504478984</v>
      </c>
      <c r="E1175" s="243">
        <v>376.55038540574668</v>
      </c>
      <c r="F1175" s="243">
        <v>7780099.3546806499</v>
      </c>
      <c r="G1175" s="243" t="s">
        <v>1205</v>
      </c>
      <c r="H1175" s="151">
        <f t="shared" si="39"/>
        <v>1.2667509481668837E-2</v>
      </c>
      <c r="J1175" s="147">
        <v>201.43</v>
      </c>
      <c r="K1175" s="147">
        <v>201.935</v>
      </c>
      <c r="L1175" s="147">
        <v>192.83</v>
      </c>
      <c r="M1175" s="147">
        <v>194.22</v>
      </c>
      <c r="N1175" s="147">
        <v>161972</v>
      </c>
      <c r="O1175" s="147" t="s">
        <v>1205</v>
      </c>
      <c r="P1175" s="151">
        <f t="shared" si="40"/>
        <v>3.7122850375862493E-2</v>
      </c>
    </row>
    <row r="1176" spans="2:16" ht="14.25" customHeight="1">
      <c r="B1176" s="243">
        <v>372.98005937471873</v>
      </c>
      <c r="C1176" s="243">
        <v>373.57035327851537</v>
      </c>
      <c r="D1176" s="243">
        <v>366.2012003504737</v>
      </c>
      <c r="E1176" s="243">
        <v>367.3722672886509</v>
      </c>
      <c r="F1176" s="243">
        <v>6028190.0204512654</v>
      </c>
      <c r="G1176" s="243" t="s">
        <v>1206</v>
      </c>
      <c r="H1176" s="151">
        <f t="shared" si="39"/>
        <v>1.5264603742289884E-2</v>
      </c>
      <c r="J1176" s="147">
        <v>191.05</v>
      </c>
      <c r="K1176" s="147">
        <v>192.27</v>
      </c>
      <c r="L1176" s="147">
        <v>186.88</v>
      </c>
      <c r="M1176" s="147">
        <v>189.77</v>
      </c>
      <c r="N1176" s="147">
        <v>120010</v>
      </c>
      <c r="O1176" s="147" t="s">
        <v>1206</v>
      </c>
      <c r="P1176" s="151">
        <f t="shared" si="40"/>
        <v>6.7450071138746015E-3</v>
      </c>
    </row>
    <row r="1177" spans="2:16" ht="14.25" customHeight="1">
      <c r="B1177" s="243">
        <v>364.97300819580005</v>
      </c>
      <c r="C1177" s="243">
        <v>371.5690665272565</v>
      </c>
      <c r="D1177" s="243">
        <v>363.93523342944798</v>
      </c>
      <c r="E1177" s="243">
        <v>368.52429248799587</v>
      </c>
      <c r="F1177" s="243">
        <v>6779817.8064513505</v>
      </c>
      <c r="G1177" s="243" t="s">
        <v>1207</v>
      </c>
      <c r="H1177" s="151">
        <f t="shared" si="39"/>
        <v>-9.6364998579069328E-3</v>
      </c>
      <c r="J1177" s="147">
        <v>187.51</v>
      </c>
      <c r="K1177" s="147">
        <v>199.03</v>
      </c>
      <c r="L1177" s="147">
        <v>186.19</v>
      </c>
      <c r="M1177" s="147">
        <v>192.5</v>
      </c>
      <c r="N1177" s="147">
        <v>174502</v>
      </c>
      <c r="O1177" s="147" t="s">
        <v>1207</v>
      </c>
      <c r="P1177" s="151">
        <f t="shared" si="40"/>
        <v>-2.5922077922078013E-2</v>
      </c>
    </row>
    <row r="1178" spans="2:16" ht="14.25" customHeight="1">
      <c r="B1178" s="243">
        <v>367.65789337113313</v>
      </c>
      <c r="C1178" s="243">
        <v>375.30305630354678</v>
      </c>
      <c r="D1178" s="243">
        <v>367.20089163916151</v>
      </c>
      <c r="E1178" s="243">
        <v>374.7604619555247</v>
      </c>
      <c r="F1178" s="243">
        <v>6168343.187319315</v>
      </c>
      <c r="G1178" s="243" t="s">
        <v>1208</v>
      </c>
      <c r="H1178" s="151">
        <f t="shared" si="39"/>
        <v>-1.8952289009704804E-2</v>
      </c>
      <c r="J1178" s="147">
        <v>192.2</v>
      </c>
      <c r="K1178" s="147">
        <v>203.49</v>
      </c>
      <c r="L1178" s="147">
        <v>192</v>
      </c>
      <c r="M1178" s="147">
        <v>203.49</v>
      </c>
      <c r="N1178" s="147">
        <v>140283</v>
      </c>
      <c r="O1178" s="147" t="s">
        <v>1208</v>
      </c>
      <c r="P1178" s="151">
        <f t="shared" si="40"/>
        <v>-5.5481841859550962E-2</v>
      </c>
    </row>
    <row r="1179" spans="2:16" ht="14.25" customHeight="1">
      <c r="B1179" s="243">
        <v>372.40880720975429</v>
      </c>
      <c r="C1179" s="243">
        <v>373.2276019795367</v>
      </c>
      <c r="D1179" s="243">
        <v>368.01016553952786</v>
      </c>
      <c r="E1179" s="243">
        <v>369.82865159799809</v>
      </c>
      <c r="F1179" s="243">
        <v>6716600.8906743284</v>
      </c>
      <c r="G1179" s="243" t="s">
        <v>1209</v>
      </c>
      <c r="H1179" s="151">
        <f t="shared" si="39"/>
        <v>6.9766244465039318E-3</v>
      </c>
      <c r="J1179" s="147">
        <v>200</v>
      </c>
      <c r="K1179" s="147">
        <v>202.255</v>
      </c>
      <c r="L1179" s="147">
        <v>197.7</v>
      </c>
      <c r="M1179" s="147">
        <v>202.16</v>
      </c>
      <c r="N1179" s="147">
        <v>196056</v>
      </c>
      <c r="O1179" s="147" t="s">
        <v>1209</v>
      </c>
      <c r="P1179" s="151">
        <f t="shared" si="40"/>
        <v>-1.068460625247325E-2</v>
      </c>
    </row>
    <row r="1180" spans="2:16" ht="14.25" customHeight="1">
      <c r="B1180" s="243">
        <v>374.07495935756731</v>
      </c>
      <c r="C1180" s="243">
        <v>375.93152889370185</v>
      </c>
      <c r="D1180" s="243">
        <v>370.09523594164818</v>
      </c>
      <c r="E1180" s="243">
        <v>372.15174373552026</v>
      </c>
      <c r="F1180" s="243">
        <v>6105112.6173270829</v>
      </c>
      <c r="G1180" s="243" t="s">
        <v>1210</v>
      </c>
      <c r="H1180" s="151">
        <f t="shared" si="39"/>
        <v>5.1678264428980381E-3</v>
      </c>
      <c r="J1180" s="147">
        <v>206.59</v>
      </c>
      <c r="K1180" s="147">
        <v>209.77</v>
      </c>
      <c r="L1180" s="147">
        <v>204.77</v>
      </c>
      <c r="M1180" s="147">
        <v>207.37</v>
      </c>
      <c r="N1180" s="147">
        <v>180228</v>
      </c>
      <c r="O1180" s="147" t="s">
        <v>1210</v>
      </c>
      <c r="P1180" s="151">
        <f t="shared" si="40"/>
        <v>-3.7613926797511743E-3</v>
      </c>
    </row>
    <row r="1181" spans="2:16" ht="14.25" customHeight="1">
      <c r="B1181" s="243">
        <v>364.36367255317134</v>
      </c>
      <c r="C1181" s="243">
        <v>373.92262544691016</v>
      </c>
      <c r="D1181" s="243">
        <v>363.35446039506741</v>
      </c>
      <c r="E1181" s="243">
        <v>367.27705859449014</v>
      </c>
      <c r="F1181" s="243">
        <v>9826912.429030614</v>
      </c>
      <c r="G1181" s="243" t="s">
        <v>1211</v>
      </c>
      <c r="H1181" s="151">
        <f t="shared" si="39"/>
        <v>-7.9323931978432238E-3</v>
      </c>
      <c r="J1181" s="147">
        <v>202.02</v>
      </c>
      <c r="K1181" s="147">
        <v>211.03</v>
      </c>
      <c r="L1181" s="147">
        <v>201</v>
      </c>
      <c r="M1181" s="147">
        <v>210.78</v>
      </c>
      <c r="N1181" s="147">
        <v>181971</v>
      </c>
      <c r="O1181" s="147" t="s">
        <v>1211</v>
      </c>
      <c r="P1181" s="151">
        <f t="shared" si="40"/>
        <v>-4.1559920296043273E-2</v>
      </c>
    </row>
    <row r="1182" spans="2:16" ht="14.25" customHeight="1">
      <c r="B1182" s="243">
        <v>367.134245553249</v>
      </c>
      <c r="C1182" s="243">
        <v>377.97851581815786</v>
      </c>
      <c r="D1182" s="243">
        <v>367.08664120616862</v>
      </c>
      <c r="E1182" s="243">
        <v>377.72145234392389</v>
      </c>
      <c r="F1182" s="243">
        <v>8834784.5479305927</v>
      </c>
      <c r="G1182" s="243" t="s">
        <v>1212</v>
      </c>
      <c r="H1182" s="151">
        <f t="shared" si="39"/>
        <v>-2.8029138204824555E-2</v>
      </c>
      <c r="J1182" s="147">
        <v>212.44</v>
      </c>
      <c r="K1182" s="147">
        <v>224.44</v>
      </c>
      <c r="L1182" s="147">
        <v>211.95</v>
      </c>
      <c r="M1182" s="147">
        <v>224.44</v>
      </c>
      <c r="N1182" s="147">
        <v>187060</v>
      </c>
      <c r="O1182" s="147" t="s">
        <v>1212</v>
      </c>
      <c r="P1182" s="151">
        <f t="shared" si="40"/>
        <v>-5.3466405275351958E-2</v>
      </c>
    </row>
    <row r="1183" spans="2:16" ht="14.25" customHeight="1">
      <c r="B1183" s="243">
        <v>378.3022253783044</v>
      </c>
      <c r="C1183" s="243">
        <v>379.33657263166674</v>
      </c>
      <c r="D1183" s="243">
        <v>374.5224402201228</v>
      </c>
      <c r="E1183" s="243">
        <v>377.91186973224535</v>
      </c>
      <c r="F1183" s="243">
        <v>6640651.9443754582</v>
      </c>
      <c r="G1183" s="243" t="s">
        <v>1213</v>
      </c>
      <c r="H1183" s="151">
        <f t="shared" si="39"/>
        <v>1.0329277202529852E-3</v>
      </c>
      <c r="J1183" s="147">
        <v>222.87</v>
      </c>
      <c r="K1183" s="147">
        <v>223.54</v>
      </c>
      <c r="L1183" s="147">
        <v>217.52</v>
      </c>
      <c r="M1183" s="147">
        <v>221.57</v>
      </c>
      <c r="N1183" s="147">
        <v>142664</v>
      </c>
      <c r="O1183" s="147" t="s">
        <v>1213</v>
      </c>
      <c r="P1183" s="151">
        <f t="shared" si="40"/>
        <v>5.8672202915557303E-3</v>
      </c>
    </row>
    <row r="1184" spans="2:16" ht="14.25" customHeight="1">
      <c r="B1184" s="243">
        <v>381.38698706911254</v>
      </c>
      <c r="C1184" s="243">
        <v>386.1093382994855</v>
      </c>
      <c r="D1184" s="243">
        <v>379.76843926837989</v>
      </c>
      <c r="E1184" s="243">
        <v>385.61425308984963</v>
      </c>
      <c r="F1184" s="243">
        <v>9185367.0267076418</v>
      </c>
      <c r="G1184" s="243" t="s">
        <v>1214</v>
      </c>
      <c r="H1184" s="151">
        <f t="shared" si="39"/>
        <v>-1.0962421608809447E-2</v>
      </c>
      <c r="J1184" s="147">
        <v>222.43</v>
      </c>
      <c r="K1184" s="147">
        <v>232.81</v>
      </c>
      <c r="L1184" s="147">
        <v>221.25</v>
      </c>
      <c r="M1184" s="147">
        <v>230.73</v>
      </c>
      <c r="N1184" s="147">
        <v>148841</v>
      </c>
      <c r="O1184" s="147" t="s">
        <v>1214</v>
      </c>
      <c r="P1184" s="151">
        <f t="shared" si="40"/>
        <v>-3.5972782039613294E-2</v>
      </c>
    </row>
    <row r="1185" spans="2:16" ht="14.25" customHeight="1">
      <c r="B1185" s="243">
        <v>383.31020269115959</v>
      </c>
      <c r="C1185" s="243">
        <v>384.73833310357077</v>
      </c>
      <c r="D1185" s="243">
        <v>377.76905669100421</v>
      </c>
      <c r="E1185" s="243">
        <v>378.66401841611525</v>
      </c>
      <c r="F1185" s="243">
        <v>8597080.4159761071</v>
      </c>
      <c r="G1185" s="243" t="s">
        <v>1215</v>
      </c>
      <c r="H1185" s="151">
        <f t="shared" si="39"/>
        <v>1.2269938650306678E-2</v>
      </c>
      <c r="J1185" s="147">
        <v>227.23</v>
      </c>
      <c r="K1185" s="147">
        <v>229.37</v>
      </c>
      <c r="L1185" s="147">
        <v>222.68</v>
      </c>
      <c r="M1185" s="147">
        <v>226.24</v>
      </c>
      <c r="N1185" s="147">
        <v>184311</v>
      </c>
      <c r="O1185" s="147" t="s">
        <v>1215</v>
      </c>
      <c r="P1185" s="151">
        <f t="shared" si="40"/>
        <v>4.3758840169729751E-3</v>
      </c>
    </row>
    <row r="1186" spans="2:16" ht="14.25" customHeight="1">
      <c r="B1186" s="243">
        <v>376.39805149508948</v>
      </c>
      <c r="C1186" s="243">
        <v>382.66278357086657</v>
      </c>
      <c r="D1186" s="243">
        <v>373.97022979399054</v>
      </c>
      <c r="E1186" s="243">
        <v>380.84429751239628</v>
      </c>
      <c r="F1186" s="243">
        <v>9583591.1630032975</v>
      </c>
      <c r="G1186" s="243" t="s">
        <v>1216</v>
      </c>
      <c r="H1186" s="151">
        <f t="shared" si="39"/>
        <v>-1.1674708132296763E-2</v>
      </c>
      <c r="J1186" s="147">
        <v>224.27</v>
      </c>
      <c r="K1186" s="147">
        <v>230.66499999999999</v>
      </c>
      <c r="L1186" s="147">
        <v>218.93</v>
      </c>
      <c r="M1186" s="147">
        <v>219.82</v>
      </c>
      <c r="N1186" s="147">
        <v>260463</v>
      </c>
      <c r="O1186" s="147" t="s">
        <v>1216</v>
      </c>
      <c r="P1186" s="151">
        <f t="shared" si="40"/>
        <v>2.0243835865708437E-2</v>
      </c>
    </row>
    <row r="1187" spans="2:16" ht="14.25" customHeight="1">
      <c r="B1187" s="243">
        <v>382.12961488356638</v>
      </c>
      <c r="C1187" s="243">
        <v>383.54822442656149</v>
      </c>
      <c r="D1187" s="243">
        <v>377.02642887655043</v>
      </c>
      <c r="E1187" s="243">
        <v>378.14989146764719</v>
      </c>
      <c r="F1187" s="243">
        <v>12452583.353347003</v>
      </c>
      <c r="G1187" s="243" t="s">
        <v>1217</v>
      </c>
      <c r="H1187" s="151">
        <f t="shared" si="39"/>
        <v>1.0524195578830886E-2</v>
      </c>
      <c r="J1187" s="147">
        <v>221.74</v>
      </c>
      <c r="K1187" s="147">
        <v>226.9</v>
      </c>
      <c r="L1187" s="147">
        <v>219.285</v>
      </c>
      <c r="M1187" s="147">
        <v>221.71</v>
      </c>
      <c r="N1187" s="147">
        <v>249241</v>
      </c>
      <c r="O1187" s="147" t="s">
        <v>1217</v>
      </c>
      <c r="P1187" s="151">
        <f t="shared" si="40"/>
        <v>1.3531189391557952E-4</v>
      </c>
    </row>
    <row r="1188" spans="2:16" ht="14.25" customHeight="1">
      <c r="B1188" s="243">
        <v>383.09122269458987</v>
      </c>
      <c r="C1188" s="243">
        <v>383.23403573583096</v>
      </c>
      <c r="D1188" s="243">
        <v>374.54671843713385</v>
      </c>
      <c r="E1188" s="243">
        <v>376.02673758786261</v>
      </c>
      <c r="F1188" s="243">
        <v>12252270.764584882</v>
      </c>
      <c r="G1188" s="243" t="s">
        <v>1218</v>
      </c>
      <c r="H1188" s="151">
        <f t="shared" si="39"/>
        <v>1.8787188251677467E-2</v>
      </c>
      <c r="J1188" s="147">
        <v>222.92</v>
      </c>
      <c r="K1188" s="147">
        <v>225.92</v>
      </c>
      <c r="L1188" s="147">
        <v>214.67</v>
      </c>
      <c r="M1188" s="147">
        <v>215.87</v>
      </c>
      <c r="N1188" s="147">
        <v>205121</v>
      </c>
      <c r="O1188" s="147" t="s">
        <v>1218</v>
      </c>
      <c r="P1188" s="151">
        <f t="shared" si="40"/>
        <v>3.2658544494371444E-2</v>
      </c>
    </row>
    <row r="1189" spans="2:16" ht="14.25" customHeight="1">
      <c r="B1189" s="243">
        <v>374.90327499676579</v>
      </c>
      <c r="C1189" s="243">
        <v>375.28410977340877</v>
      </c>
      <c r="D1189" s="243">
        <v>359.4128204568126</v>
      </c>
      <c r="E1189" s="243">
        <v>359.66036306163051</v>
      </c>
      <c r="F1189" s="243">
        <v>22347980.074253228</v>
      </c>
      <c r="G1189" s="243" t="s">
        <v>1219</v>
      </c>
      <c r="H1189" s="151">
        <f t="shared" si="39"/>
        <v>4.2381406183820358E-2</v>
      </c>
      <c r="J1189" s="147">
        <v>215.75</v>
      </c>
      <c r="K1189" s="147">
        <v>216.44</v>
      </c>
      <c r="L1189" s="147">
        <v>196.41</v>
      </c>
      <c r="M1189" s="147">
        <v>196.41</v>
      </c>
      <c r="N1189" s="147">
        <v>305500</v>
      </c>
      <c r="O1189" s="147" t="s">
        <v>1219</v>
      </c>
      <c r="P1189" s="151">
        <f t="shared" si="40"/>
        <v>9.846749147192102E-2</v>
      </c>
    </row>
    <row r="1190" spans="2:16" ht="14.25" customHeight="1">
      <c r="B1190" s="243">
        <v>369.22883682478539</v>
      </c>
      <c r="C1190" s="243">
        <v>379.2352705810797</v>
      </c>
      <c r="D1190" s="243">
        <v>368.81943943989421</v>
      </c>
      <c r="E1190" s="243">
        <v>378.68306015494738</v>
      </c>
      <c r="F1190" s="243">
        <v>12766539.975307737</v>
      </c>
      <c r="G1190" s="243" t="s">
        <v>1220</v>
      </c>
      <c r="H1190" s="151">
        <f t="shared" si="39"/>
        <v>-2.4966058228993893E-2</v>
      </c>
      <c r="J1190" s="147">
        <v>204.05</v>
      </c>
      <c r="K1190" s="147">
        <v>218.47</v>
      </c>
      <c r="L1190" s="147">
        <v>200.001</v>
      </c>
      <c r="M1190" s="147">
        <v>207.01</v>
      </c>
      <c r="N1190" s="147">
        <v>606510</v>
      </c>
      <c r="O1190" s="147" t="s">
        <v>1220</v>
      </c>
      <c r="P1190" s="151">
        <f t="shared" si="40"/>
        <v>-1.4298826143664511E-2</v>
      </c>
    </row>
    <row r="1191" spans="2:16" ht="14.25" customHeight="1">
      <c r="B1191" s="243">
        <v>375.99817497961436</v>
      </c>
      <c r="C1191" s="243">
        <v>381.18704881137501</v>
      </c>
      <c r="D1191" s="243">
        <v>372.74679807402492</v>
      </c>
      <c r="E1191" s="243">
        <v>378.02612016523824</v>
      </c>
      <c r="F1191" s="243">
        <v>10938849.746658998</v>
      </c>
      <c r="G1191" s="243" t="s">
        <v>1221</v>
      </c>
      <c r="H1191" s="151">
        <f t="shared" si="39"/>
        <v>-5.3645636569701338E-3</v>
      </c>
      <c r="J1191" s="147">
        <v>216.59</v>
      </c>
      <c r="K1191" s="147">
        <v>218.95</v>
      </c>
      <c r="L1191" s="147">
        <v>206.29</v>
      </c>
      <c r="M1191" s="147">
        <v>206.29</v>
      </c>
      <c r="N1191" s="147">
        <v>216050</v>
      </c>
      <c r="O1191" s="147" t="s">
        <v>1221</v>
      </c>
      <c r="P1191" s="151">
        <f t="shared" si="40"/>
        <v>4.9929710601580357E-2</v>
      </c>
    </row>
    <row r="1192" spans="2:16" ht="14.25" customHeight="1">
      <c r="B1192" s="243">
        <v>380.15879491443894</v>
      </c>
      <c r="C1192" s="243">
        <v>383.98618441970086</v>
      </c>
      <c r="D1192" s="243">
        <v>377.97851581815786</v>
      </c>
      <c r="E1192" s="243">
        <v>382.88176356743622</v>
      </c>
      <c r="F1192" s="243">
        <v>11102801.16031504</v>
      </c>
      <c r="G1192" s="243" t="s">
        <v>1222</v>
      </c>
      <c r="H1192" s="151">
        <f t="shared" si="39"/>
        <v>-7.1117742136017625E-3</v>
      </c>
      <c r="J1192" s="147">
        <v>211.15</v>
      </c>
      <c r="K1192" s="147">
        <v>220.52</v>
      </c>
      <c r="L1192" s="147">
        <v>210.44</v>
      </c>
      <c r="M1192" s="147">
        <v>217.12</v>
      </c>
      <c r="N1192" s="147">
        <v>172327</v>
      </c>
      <c r="O1192" s="147" t="s">
        <v>1222</v>
      </c>
      <c r="P1192" s="151">
        <f t="shared" si="40"/>
        <v>-2.749631540162123E-2</v>
      </c>
    </row>
    <row r="1193" spans="2:16" ht="14.25" customHeight="1">
      <c r="B1193" s="243">
        <v>382.60565835437012</v>
      </c>
      <c r="C1193" s="243">
        <v>388.43243043700767</v>
      </c>
      <c r="D1193" s="243">
        <v>382.00584358115742</v>
      </c>
      <c r="E1193" s="243">
        <v>387.96590783562004</v>
      </c>
      <c r="F1193" s="243">
        <v>7920485.693531529</v>
      </c>
      <c r="G1193" s="243" t="s">
        <v>1223</v>
      </c>
      <c r="H1193" s="151">
        <f t="shared" si="39"/>
        <v>-1.3816289970305928E-2</v>
      </c>
      <c r="J1193" s="147">
        <v>216.15</v>
      </c>
      <c r="K1193" s="147">
        <v>226.97</v>
      </c>
      <c r="L1193" s="147">
        <v>215.715</v>
      </c>
      <c r="M1193" s="147">
        <v>226.97</v>
      </c>
      <c r="N1193" s="147">
        <v>168673</v>
      </c>
      <c r="O1193" s="147" t="s">
        <v>1223</v>
      </c>
      <c r="P1193" s="151">
        <f t="shared" si="40"/>
        <v>-4.7671498435916559E-2</v>
      </c>
    </row>
    <row r="1194" spans="2:16" ht="14.25" customHeight="1">
      <c r="B1194" s="243">
        <v>390.9173773546031</v>
      </c>
      <c r="C1194" s="243">
        <v>392.15509037869282</v>
      </c>
      <c r="D1194" s="243">
        <v>386.85196611393928</v>
      </c>
      <c r="E1194" s="243">
        <v>388.64188956416132</v>
      </c>
      <c r="F1194" s="243">
        <v>8133463.0920636933</v>
      </c>
      <c r="G1194" s="243" t="s">
        <v>1224</v>
      </c>
      <c r="H1194" s="151">
        <f t="shared" si="39"/>
        <v>5.8549730524253274E-3</v>
      </c>
      <c r="J1194" s="147">
        <v>227.87</v>
      </c>
      <c r="K1194" s="147">
        <v>230.155</v>
      </c>
      <c r="L1194" s="147">
        <v>222.26</v>
      </c>
      <c r="M1194" s="147">
        <v>229.7</v>
      </c>
      <c r="N1194" s="147">
        <v>108387</v>
      </c>
      <c r="O1194" s="147" t="s">
        <v>1224</v>
      </c>
      <c r="P1194" s="151">
        <f t="shared" si="40"/>
        <v>-7.9669133652590096E-3</v>
      </c>
    </row>
    <row r="1195" spans="2:16" ht="14.25" customHeight="1">
      <c r="B1195" s="243">
        <v>390.45085475321548</v>
      </c>
      <c r="C1195" s="243">
        <v>390.63175127212088</v>
      </c>
      <c r="D1195" s="243">
        <v>387.93734522737179</v>
      </c>
      <c r="E1195" s="243">
        <v>388.62284782532919</v>
      </c>
      <c r="F1195" s="243">
        <v>7165620.808202262</v>
      </c>
      <c r="G1195" s="243" t="s">
        <v>1225</v>
      </c>
      <c r="H1195" s="151">
        <f t="shared" si="39"/>
        <v>4.7038071439071683E-3</v>
      </c>
      <c r="J1195" s="147">
        <v>231.57</v>
      </c>
      <c r="K1195" s="147">
        <v>232.26</v>
      </c>
      <c r="L1195" s="147">
        <v>225.61</v>
      </c>
      <c r="M1195" s="147">
        <v>226.35</v>
      </c>
      <c r="N1195" s="147">
        <v>91667</v>
      </c>
      <c r="O1195" s="147" t="s">
        <v>1225</v>
      </c>
      <c r="P1195" s="151">
        <f t="shared" si="40"/>
        <v>2.3061630218687901E-2</v>
      </c>
    </row>
    <row r="1196" spans="2:16" ht="14.25" customHeight="1">
      <c r="B1196" s="243">
        <v>384.28133137159921</v>
      </c>
      <c r="C1196" s="243">
        <v>386.53777742320887</v>
      </c>
      <c r="D1196" s="243">
        <v>381.063277508966</v>
      </c>
      <c r="E1196" s="243">
        <v>385.05252179430124</v>
      </c>
      <c r="F1196" s="243">
        <v>10679260.008370262</v>
      </c>
      <c r="G1196" s="243" t="s">
        <v>1226</v>
      </c>
      <c r="H1196" s="151">
        <f t="shared" si="39"/>
        <v>-2.0028187819894905E-3</v>
      </c>
      <c r="J1196" s="147">
        <v>221.17</v>
      </c>
      <c r="K1196" s="147">
        <v>228.18</v>
      </c>
      <c r="L1196" s="147">
        <v>220</v>
      </c>
      <c r="M1196" s="147">
        <v>224.53</v>
      </c>
      <c r="N1196" s="147">
        <v>148939</v>
      </c>
      <c r="O1196" s="147" t="s">
        <v>1226</v>
      </c>
      <c r="P1196" s="151">
        <f t="shared" si="40"/>
        <v>-1.4964592704761137E-2</v>
      </c>
    </row>
    <row r="1197" spans="2:16" ht="14.25" customHeight="1">
      <c r="B1197" s="243">
        <v>385.53808613452105</v>
      </c>
      <c r="C1197" s="243">
        <v>395.30649815541346</v>
      </c>
      <c r="D1197" s="243">
        <v>384.23372702451883</v>
      </c>
      <c r="E1197" s="243">
        <v>393.35471992511816</v>
      </c>
      <c r="F1197" s="243">
        <v>10984906.464888917</v>
      </c>
      <c r="G1197" s="243" t="s">
        <v>1227</v>
      </c>
      <c r="H1197" s="151">
        <f t="shared" si="39"/>
        <v>-1.9871717293960867E-2</v>
      </c>
      <c r="J1197" s="147">
        <v>226.06</v>
      </c>
      <c r="K1197" s="147">
        <v>234.33</v>
      </c>
      <c r="L1197" s="147">
        <v>223.47</v>
      </c>
      <c r="M1197" s="147">
        <v>229.95</v>
      </c>
      <c r="N1197" s="147">
        <v>81168</v>
      </c>
      <c r="O1197" s="147" t="s">
        <v>1227</v>
      </c>
      <c r="P1197" s="151">
        <f t="shared" si="40"/>
        <v>-1.6916721026310033E-2</v>
      </c>
    </row>
    <row r="1198" spans="2:16" ht="14.25" customHeight="1">
      <c r="B1198" s="243">
        <v>393.38328253336641</v>
      </c>
      <c r="C1198" s="243">
        <v>400.63818502841519</v>
      </c>
      <c r="D1198" s="243">
        <v>391.44102517248723</v>
      </c>
      <c r="E1198" s="243">
        <v>395.04943468117949</v>
      </c>
      <c r="F1198" s="243">
        <v>9726487.7768044509</v>
      </c>
      <c r="G1198" s="243" t="s">
        <v>1228</v>
      </c>
      <c r="H1198" s="151">
        <f t="shared" si="39"/>
        <v>-4.2175788687249804E-3</v>
      </c>
      <c r="J1198" s="147">
        <v>230.14</v>
      </c>
      <c r="K1198" s="147">
        <v>239.9</v>
      </c>
      <c r="L1198" s="147">
        <v>227.13</v>
      </c>
      <c r="M1198" s="147">
        <v>228.54</v>
      </c>
      <c r="N1198" s="147">
        <v>153968</v>
      </c>
      <c r="O1198" s="147" t="s">
        <v>1228</v>
      </c>
      <c r="P1198" s="151">
        <f t="shared" si="40"/>
        <v>7.0009626323619401E-3</v>
      </c>
    </row>
    <row r="1199" spans="2:16" ht="14.25" customHeight="1">
      <c r="B1199" s="243">
        <v>400.41920503184548</v>
      </c>
      <c r="C1199" s="243">
        <v>400.7048311143277</v>
      </c>
      <c r="D1199" s="243">
        <v>398.30081158676893</v>
      </c>
      <c r="E1199" s="243">
        <v>398.49598940979843</v>
      </c>
      <c r="F1199" s="243">
        <v>6600719.6668296587</v>
      </c>
      <c r="G1199" s="243" t="s">
        <v>1229</v>
      </c>
      <c r="H1199" s="151">
        <f t="shared" si="39"/>
        <v>4.8261856409030912E-3</v>
      </c>
      <c r="J1199" s="147">
        <v>235.08</v>
      </c>
      <c r="K1199" s="147">
        <v>235.77</v>
      </c>
      <c r="L1199" s="147">
        <v>228.59</v>
      </c>
      <c r="M1199" s="147">
        <v>228.59</v>
      </c>
      <c r="N1199" s="147">
        <v>135752</v>
      </c>
      <c r="O1199" s="147" t="s">
        <v>1229</v>
      </c>
      <c r="P1199" s="151">
        <f t="shared" si="40"/>
        <v>2.839144319524034E-2</v>
      </c>
    </row>
    <row r="1200" spans="2:16" ht="14.25" customHeight="1">
      <c r="B1200" s="243">
        <v>394.63051642687219</v>
      </c>
      <c r="C1200" s="243">
        <v>395.55404076023137</v>
      </c>
      <c r="D1200" s="243">
        <v>389.73678954700989</v>
      </c>
      <c r="E1200" s="243">
        <v>391.04114865701212</v>
      </c>
      <c r="F1200" s="243">
        <v>5845773.9065333754</v>
      </c>
      <c r="G1200" s="243" t="s">
        <v>1230</v>
      </c>
      <c r="H1200" s="151">
        <f t="shared" si="39"/>
        <v>9.179002726918517E-3</v>
      </c>
      <c r="J1200" s="147">
        <v>225.4</v>
      </c>
      <c r="K1200" s="147">
        <v>226.755</v>
      </c>
      <c r="L1200" s="147">
        <v>217.07</v>
      </c>
      <c r="M1200" s="147">
        <v>219</v>
      </c>
      <c r="N1200" s="147">
        <v>110888</v>
      </c>
      <c r="O1200" s="147" t="s">
        <v>1230</v>
      </c>
      <c r="P1200" s="151">
        <f t="shared" si="40"/>
        <v>2.9223744292237397E-2</v>
      </c>
    </row>
    <row r="1201" spans="2:16" ht="14.25" customHeight="1">
      <c r="B1201" s="243">
        <v>391.46006691131942</v>
      </c>
      <c r="C1201" s="243">
        <v>394.75428772928115</v>
      </c>
      <c r="D1201" s="243">
        <v>390.26043736489396</v>
      </c>
      <c r="E1201" s="243">
        <v>393.43088688044679</v>
      </c>
      <c r="F1201" s="243">
        <v>5903780.1637211461</v>
      </c>
      <c r="G1201" s="243" t="s">
        <v>1231</v>
      </c>
      <c r="H1201" s="151">
        <f t="shared" si="39"/>
        <v>-5.0093168453402281E-3</v>
      </c>
      <c r="J1201" s="147">
        <v>221.95</v>
      </c>
      <c r="K1201" s="147">
        <v>224.89</v>
      </c>
      <c r="L1201" s="147">
        <v>218.66</v>
      </c>
      <c r="M1201" s="147">
        <v>218.66</v>
      </c>
      <c r="N1201" s="147">
        <v>95994</v>
      </c>
      <c r="O1201" s="147" t="s">
        <v>1231</v>
      </c>
      <c r="P1201" s="151">
        <f t="shared" si="40"/>
        <v>1.5046190432635109E-2</v>
      </c>
    </row>
    <row r="1202" spans="2:16" ht="14.25" customHeight="1">
      <c r="B1202" s="243">
        <v>392.75490515190546</v>
      </c>
      <c r="C1202" s="243">
        <v>396.29666857468521</v>
      </c>
      <c r="D1202" s="243">
        <v>388.5085973923363</v>
      </c>
      <c r="E1202" s="243">
        <v>390.67935561920126</v>
      </c>
      <c r="F1202" s="243">
        <v>8623187.2754589543</v>
      </c>
      <c r="G1202" s="243" t="s">
        <v>1232</v>
      </c>
      <c r="H1202" s="151">
        <f t="shared" si="39"/>
        <v>5.3126675439878479E-3</v>
      </c>
      <c r="J1202" s="147">
        <v>219.82</v>
      </c>
      <c r="K1202" s="147">
        <v>223.88</v>
      </c>
      <c r="L1202" s="147">
        <v>214.815</v>
      </c>
      <c r="M1202" s="147">
        <v>216.83</v>
      </c>
      <c r="N1202" s="147">
        <v>145583</v>
      </c>
      <c r="O1202" s="147" t="s">
        <v>1232</v>
      </c>
      <c r="P1202" s="151">
        <f t="shared" si="40"/>
        <v>1.3789604759488983E-2</v>
      </c>
    </row>
    <row r="1203" spans="2:16" ht="14.25" customHeight="1">
      <c r="B1203" s="243">
        <v>390.9173773546031</v>
      </c>
      <c r="C1203" s="243">
        <v>396.47756509359061</v>
      </c>
      <c r="D1203" s="243">
        <v>390.15570780131719</v>
      </c>
      <c r="E1203" s="243">
        <v>394.72572512103289</v>
      </c>
      <c r="F1203" s="243">
        <v>8043667.7212169319</v>
      </c>
      <c r="G1203" s="243" t="s">
        <v>1233</v>
      </c>
      <c r="H1203" s="151">
        <f t="shared" si="39"/>
        <v>-9.6480860609275965E-3</v>
      </c>
      <c r="J1203" s="147">
        <v>217.92</v>
      </c>
      <c r="K1203" s="147">
        <v>222.68</v>
      </c>
      <c r="L1203" s="147">
        <v>216.56</v>
      </c>
      <c r="M1203" s="147">
        <v>219.03</v>
      </c>
      <c r="N1203" s="147">
        <v>143611</v>
      </c>
      <c r="O1203" s="147" t="s">
        <v>1233</v>
      </c>
      <c r="P1203" s="151">
        <f t="shared" si="40"/>
        <v>-5.0677989316532113E-3</v>
      </c>
    </row>
    <row r="1204" spans="2:16" ht="14.25" customHeight="1">
      <c r="B1204" s="243">
        <v>400.21926677410795</v>
      </c>
      <c r="C1204" s="243">
        <v>400.99997806622605</v>
      </c>
      <c r="D1204" s="243">
        <v>396.58229465716749</v>
      </c>
      <c r="E1204" s="243">
        <v>398.90538679468966</v>
      </c>
      <c r="F1204" s="243">
        <v>7064980.8395054685</v>
      </c>
      <c r="G1204" s="243" t="s">
        <v>1234</v>
      </c>
      <c r="H1204" s="151">
        <f t="shared" si="39"/>
        <v>3.2937133037376221E-3</v>
      </c>
      <c r="J1204" s="147">
        <v>224.1</v>
      </c>
      <c r="K1204" s="147">
        <v>228.14250000000001</v>
      </c>
      <c r="L1204" s="147">
        <v>220.39</v>
      </c>
      <c r="M1204" s="147">
        <v>226.93</v>
      </c>
      <c r="N1204" s="147">
        <v>178028</v>
      </c>
      <c r="O1204" s="147" t="s">
        <v>1234</v>
      </c>
      <c r="P1204" s="151">
        <f t="shared" si="40"/>
        <v>-1.2470805975410948E-2</v>
      </c>
    </row>
    <row r="1205" spans="2:16" ht="14.25" customHeight="1">
      <c r="B1205" s="243">
        <v>396.4394816159263</v>
      </c>
      <c r="C1205" s="243">
        <v>397.05833812797118</v>
      </c>
      <c r="D1205" s="243">
        <v>391.21252430650139</v>
      </c>
      <c r="E1205" s="243">
        <v>394.48770338563105</v>
      </c>
      <c r="F1205" s="243">
        <v>8565279.7487503998</v>
      </c>
      <c r="G1205" s="243" t="s">
        <v>1235</v>
      </c>
      <c r="H1205" s="151">
        <f t="shared" si="39"/>
        <v>4.9476275522517543E-3</v>
      </c>
      <c r="J1205" s="147">
        <v>228.15</v>
      </c>
      <c r="K1205" s="147">
        <v>232.55</v>
      </c>
      <c r="L1205" s="147">
        <v>221.03</v>
      </c>
      <c r="M1205" s="147">
        <v>228.33</v>
      </c>
      <c r="N1205" s="147">
        <v>179776</v>
      </c>
      <c r="O1205" s="147" t="s">
        <v>1235</v>
      </c>
      <c r="P1205" s="151">
        <f t="shared" si="40"/>
        <v>-7.8833267638944715E-4</v>
      </c>
    </row>
    <row r="1206" spans="2:16" ht="14.25" customHeight="1">
      <c r="B1206" s="243">
        <v>393.86884687358622</v>
      </c>
      <c r="C1206" s="243">
        <v>394.13543121723632</v>
      </c>
      <c r="D1206" s="243">
        <v>384.97635483897267</v>
      </c>
      <c r="E1206" s="243">
        <v>386.23310960189445</v>
      </c>
      <c r="F1206" s="243">
        <v>9663439.963231191</v>
      </c>
      <c r="G1206" s="243" t="s">
        <v>1236</v>
      </c>
      <c r="H1206" s="151">
        <f t="shared" si="39"/>
        <v>1.9769763600956392E-2</v>
      </c>
      <c r="J1206" s="147">
        <v>226.01</v>
      </c>
      <c r="K1206" s="147">
        <v>226.76499999999999</v>
      </c>
      <c r="L1206" s="147">
        <v>207.47</v>
      </c>
      <c r="M1206" s="147">
        <v>207.47</v>
      </c>
      <c r="N1206" s="147">
        <v>284637</v>
      </c>
      <c r="O1206" s="147" t="s">
        <v>1236</v>
      </c>
      <c r="P1206" s="151">
        <f t="shared" si="40"/>
        <v>8.9362317443485662E-2</v>
      </c>
    </row>
    <row r="1207" spans="2:16" ht="14.25" customHeight="1">
      <c r="B1207" s="243">
        <v>386.79484089744284</v>
      </c>
      <c r="C1207" s="243">
        <v>386.86148698335535</v>
      </c>
      <c r="D1207" s="243">
        <v>374.45579413421029</v>
      </c>
      <c r="E1207" s="243">
        <v>378.75922711027596</v>
      </c>
      <c r="F1207" s="243">
        <v>12705569.703094998</v>
      </c>
      <c r="G1207" s="243" t="s">
        <v>1237</v>
      </c>
      <c r="H1207" s="151">
        <f t="shared" si="39"/>
        <v>2.1215625157106288E-2</v>
      </c>
      <c r="J1207" s="147">
        <v>206.5</v>
      </c>
      <c r="K1207" s="147">
        <v>206.75</v>
      </c>
      <c r="L1207" s="147">
        <v>193.61500000000001</v>
      </c>
      <c r="M1207" s="147">
        <v>199</v>
      </c>
      <c r="N1207" s="147">
        <v>160118</v>
      </c>
      <c r="O1207" s="147" t="s">
        <v>1237</v>
      </c>
      <c r="P1207" s="151">
        <f t="shared" si="40"/>
        <v>3.7688442211055273E-2</v>
      </c>
    </row>
    <row r="1208" spans="2:16" ht="14.25" customHeight="1">
      <c r="B1208" s="243">
        <v>377.54055582501849</v>
      </c>
      <c r="C1208" s="243">
        <v>386.51873568437674</v>
      </c>
      <c r="D1208" s="243">
        <v>375.9029662854536</v>
      </c>
      <c r="E1208" s="243">
        <v>383.62439138189006</v>
      </c>
      <c r="F1208" s="243">
        <v>13082025.869372066</v>
      </c>
      <c r="G1208" s="243" t="s">
        <v>1238</v>
      </c>
      <c r="H1208" s="151">
        <f t="shared" si="39"/>
        <v>-1.5858834040652137E-2</v>
      </c>
      <c r="J1208" s="147">
        <v>197.49</v>
      </c>
      <c r="K1208" s="147">
        <v>214.46</v>
      </c>
      <c r="L1208" s="147">
        <v>197.07</v>
      </c>
      <c r="M1208" s="147">
        <v>211.35</v>
      </c>
      <c r="N1208" s="147">
        <v>188010</v>
      </c>
      <c r="O1208" s="147" t="s">
        <v>1238</v>
      </c>
      <c r="P1208" s="151">
        <f t="shared" si="40"/>
        <v>-6.5578424414478254E-2</v>
      </c>
    </row>
    <row r="1209" spans="2:16" ht="14.25" customHeight="1">
      <c r="B1209" s="243">
        <v>379.46377144706548</v>
      </c>
      <c r="C1209" s="243">
        <v>388.63750996422993</v>
      </c>
      <c r="D1209" s="243">
        <v>375.44596455348204</v>
      </c>
      <c r="E1209" s="243">
        <v>386.22358873247839</v>
      </c>
      <c r="F1209" s="243">
        <v>15100875.110970527</v>
      </c>
      <c r="G1209" s="243" t="s">
        <v>1239</v>
      </c>
      <c r="H1209" s="151">
        <f t="shared" si="39"/>
        <v>-1.7502341862643656E-2</v>
      </c>
      <c r="J1209" s="147">
        <v>209.29</v>
      </c>
      <c r="K1209" s="147">
        <v>219.58</v>
      </c>
      <c r="L1209" s="147">
        <v>206.97</v>
      </c>
      <c r="M1209" s="147">
        <v>217.53</v>
      </c>
      <c r="N1209" s="147">
        <v>135705</v>
      </c>
      <c r="O1209" s="147" t="s">
        <v>1239</v>
      </c>
      <c r="P1209" s="151">
        <f t="shared" si="40"/>
        <v>-3.787983266675865E-2</v>
      </c>
    </row>
    <row r="1210" spans="2:16" ht="14.25" customHeight="1">
      <c r="B1210" s="243">
        <v>380.32064969451216</v>
      </c>
      <c r="C1210" s="243">
        <v>384.89066701422797</v>
      </c>
      <c r="D1210" s="243">
        <v>373.91548479484811</v>
      </c>
      <c r="E1210" s="243">
        <v>379.09245753983862</v>
      </c>
      <c r="F1210" s="243">
        <v>17683601.427800789</v>
      </c>
      <c r="G1210" s="243" t="s">
        <v>1240</v>
      </c>
      <c r="H1210" s="151">
        <f t="shared" si="39"/>
        <v>3.2398221865030941E-3</v>
      </c>
      <c r="J1210" s="147">
        <v>213.07</v>
      </c>
      <c r="K1210" s="147">
        <v>231.18</v>
      </c>
      <c r="L1210" s="147">
        <v>211.61</v>
      </c>
      <c r="M1210" s="147">
        <v>225.35</v>
      </c>
      <c r="N1210" s="147">
        <v>264833</v>
      </c>
      <c r="O1210" s="147" t="s">
        <v>1240</v>
      </c>
      <c r="P1210" s="151">
        <f t="shared" si="40"/>
        <v>-5.4493010871976888E-2</v>
      </c>
    </row>
    <row r="1211" spans="2:16" ht="14.25" customHeight="1">
      <c r="B1211" s="243">
        <v>384.9953965778048</v>
      </c>
      <c r="C1211" s="243">
        <v>385.48096091802455</v>
      </c>
      <c r="D1211" s="243">
        <v>368.30531249142615</v>
      </c>
      <c r="E1211" s="243">
        <v>378.22605842297583</v>
      </c>
      <c r="F1211" s="243">
        <v>24155184.778788935</v>
      </c>
      <c r="G1211" s="243" t="s">
        <v>1241</v>
      </c>
      <c r="H1211" s="151">
        <f t="shared" si="39"/>
        <v>1.7897598550068006E-2</v>
      </c>
      <c r="J1211" s="147">
        <v>228.46</v>
      </c>
      <c r="K1211" s="147">
        <v>229.8</v>
      </c>
      <c r="L1211" s="147">
        <v>208</v>
      </c>
      <c r="M1211" s="147">
        <v>214.26</v>
      </c>
      <c r="N1211" s="147">
        <v>265955</v>
      </c>
      <c r="O1211" s="147" t="s">
        <v>1241</v>
      </c>
      <c r="P1211" s="151">
        <f t="shared" si="40"/>
        <v>6.6274619621021325E-2</v>
      </c>
    </row>
    <row r="1212" spans="2:16" ht="14.25" customHeight="1">
      <c r="B1212" s="243">
        <v>383.39589051590428</v>
      </c>
      <c r="C1212" s="243">
        <v>392.18984155206147</v>
      </c>
      <c r="D1212" s="243">
        <v>383.36732790765609</v>
      </c>
      <c r="E1212" s="243">
        <v>390.07954084598856</v>
      </c>
      <c r="F1212" s="243">
        <v>17042485.60809483</v>
      </c>
      <c r="G1212" s="243" t="s">
        <v>1242</v>
      </c>
      <c r="H1212" s="151">
        <f t="shared" si="39"/>
        <v>-1.7134070440067317E-2</v>
      </c>
      <c r="J1212" s="147">
        <v>218.3</v>
      </c>
      <c r="K1212" s="147">
        <v>225.13</v>
      </c>
      <c r="L1212" s="147">
        <v>217</v>
      </c>
      <c r="M1212" s="147">
        <v>221.6</v>
      </c>
      <c r="N1212" s="147">
        <v>150501</v>
      </c>
      <c r="O1212" s="147" t="s">
        <v>1242</v>
      </c>
      <c r="P1212" s="151">
        <f t="shared" si="40"/>
        <v>-1.4891696750902406E-2</v>
      </c>
    </row>
    <row r="1213" spans="2:16" ht="14.25" customHeight="1">
      <c r="B1213" s="243">
        <v>391.07923213467637</v>
      </c>
      <c r="C1213" s="243">
        <v>401.54266762294225</v>
      </c>
      <c r="D1213" s="243">
        <v>390.63175127212088</v>
      </c>
      <c r="E1213" s="243">
        <v>397.18210943038014</v>
      </c>
      <c r="F1213" s="243">
        <v>9355871.4133405704</v>
      </c>
      <c r="G1213" s="243" t="s">
        <v>1243</v>
      </c>
      <c r="H1213" s="151">
        <f t="shared" si="39"/>
        <v>-1.5365438550231314E-2</v>
      </c>
      <c r="J1213" s="147">
        <v>223.3</v>
      </c>
      <c r="K1213" s="147">
        <v>232.18</v>
      </c>
      <c r="L1213" s="147">
        <v>221</v>
      </c>
      <c r="M1213" s="147">
        <v>221.18</v>
      </c>
      <c r="N1213" s="147">
        <v>189379</v>
      </c>
      <c r="O1213" s="147" t="s">
        <v>1243</v>
      </c>
      <c r="P1213" s="151">
        <f t="shared" si="40"/>
        <v>9.5849534315941565E-3</v>
      </c>
    </row>
    <row r="1214" spans="2:16" ht="14.25" customHeight="1">
      <c r="B1214" s="243">
        <v>395.43026945782242</v>
      </c>
      <c r="C1214" s="243">
        <v>402.29005587210412</v>
      </c>
      <c r="D1214" s="243">
        <v>395.18272685300451</v>
      </c>
      <c r="E1214" s="243">
        <v>400.99045719680998</v>
      </c>
      <c r="F1214" s="243">
        <v>8595964.9716258179</v>
      </c>
      <c r="G1214" s="243" t="s">
        <v>1244</v>
      </c>
      <c r="H1214" s="151">
        <f t="shared" si="39"/>
        <v>-1.3866134814920494E-2</v>
      </c>
      <c r="J1214" s="147">
        <v>218.65</v>
      </c>
      <c r="K1214" s="147">
        <v>229.96</v>
      </c>
      <c r="L1214" s="147">
        <v>218</v>
      </c>
      <c r="M1214" s="147">
        <v>224.89</v>
      </c>
      <c r="N1214" s="147">
        <v>147152</v>
      </c>
      <c r="O1214" s="147" t="s">
        <v>1244</v>
      </c>
      <c r="P1214" s="151">
        <f t="shared" si="40"/>
        <v>-2.7746898483703042E-2</v>
      </c>
    </row>
    <row r="1215" spans="2:16" ht="14.25" customHeight="1">
      <c r="B1215" s="243">
        <v>399.62897287031132</v>
      </c>
      <c r="C1215" s="243">
        <v>404.61790844433438</v>
      </c>
      <c r="D1215" s="243">
        <v>397.33444334103734</v>
      </c>
      <c r="E1215" s="243">
        <v>402.37098326214078</v>
      </c>
      <c r="F1215" s="243">
        <v>11236348.837993855</v>
      </c>
      <c r="G1215" s="243" t="s">
        <v>1245</v>
      </c>
      <c r="H1215" s="151">
        <f t="shared" si="39"/>
        <v>-6.8146325304055955E-3</v>
      </c>
      <c r="J1215" s="147">
        <v>223.73</v>
      </c>
      <c r="K1215" s="147">
        <v>236.02500000000001</v>
      </c>
      <c r="L1215" s="147">
        <v>223.03</v>
      </c>
      <c r="M1215" s="147">
        <v>234.92</v>
      </c>
      <c r="N1215" s="147">
        <v>240173</v>
      </c>
      <c r="O1215" s="147" t="s">
        <v>1245</v>
      </c>
      <c r="P1215" s="151">
        <f t="shared" si="40"/>
        <v>-4.7633236846586047E-2</v>
      </c>
    </row>
    <row r="1216" spans="2:16" ht="14.25" customHeight="1">
      <c r="B1216" s="243">
        <v>406.76010406295114</v>
      </c>
      <c r="C1216" s="243">
        <v>407.09323928381957</v>
      </c>
      <c r="D1216" s="243">
        <v>402.55187978104618</v>
      </c>
      <c r="E1216" s="243">
        <v>403.6324984597706</v>
      </c>
      <c r="F1216" s="243">
        <v>10462084.463822933</v>
      </c>
      <c r="G1216" s="243" t="s">
        <v>1246</v>
      </c>
      <c r="H1216" s="151">
        <f t="shared" si="39"/>
        <v>7.7486466404841359E-3</v>
      </c>
      <c r="J1216" s="147">
        <v>237.58</v>
      </c>
      <c r="K1216" s="147">
        <v>247.12</v>
      </c>
      <c r="L1216" s="147">
        <v>236.33</v>
      </c>
      <c r="M1216" s="147">
        <v>243.7</v>
      </c>
      <c r="N1216" s="147">
        <v>287309</v>
      </c>
      <c r="O1216" s="147" t="s">
        <v>1246</v>
      </c>
      <c r="P1216" s="151">
        <f t="shared" si="40"/>
        <v>-2.5112843660237916E-2</v>
      </c>
    </row>
    <row r="1217" spans="2:16" ht="14.25" customHeight="1">
      <c r="B1217" s="243">
        <v>406.63633276054213</v>
      </c>
      <c r="C1217" s="243">
        <v>413.89123525559091</v>
      </c>
      <c r="D1217" s="243">
        <v>405.67472494951858</v>
      </c>
      <c r="E1217" s="243">
        <v>413.29142048237821</v>
      </c>
      <c r="F1217" s="243">
        <v>7899777.5006781397</v>
      </c>
      <c r="G1217" s="243" t="s">
        <v>1247</v>
      </c>
      <c r="H1217" s="151">
        <f t="shared" si="39"/>
        <v>-1.6102651523877576E-2</v>
      </c>
      <c r="J1217" s="147">
        <v>247.16</v>
      </c>
      <c r="K1217" s="147">
        <v>260.60000000000002</v>
      </c>
      <c r="L1217" s="147">
        <v>245.55009999999999</v>
      </c>
      <c r="M1217" s="147">
        <v>258.08</v>
      </c>
      <c r="N1217" s="147">
        <v>188556</v>
      </c>
      <c r="O1217" s="147" t="s">
        <v>1247</v>
      </c>
      <c r="P1217" s="151">
        <f t="shared" si="40"/>
        <v>-4.2312461252324796E-2</v>
      </c>
    </row>
    <row r="1218" spans="2:16" ht="14.25" customHeight="1">
      <c r="B1218" s="243">
        <v>412.32029180193859</v>
      </c>
      <c r="C1218" s="243">
        <v>414.19590307690532</v>
      </c>
      <c r="D1218" s="243">
        <v>410.48276400463624</v>
      </c>
      <c r="E1218" s="243">
        <v>412.78681440332628</v>
      </c>
      <c r="F1218" s="243">
        <v>8686530.2301456127</v>
      </c>
      <c r="G1218" s="243" t="s">
        <v>1248</v>
      </c>
      <c r="H1218" s="151">
        <f t="shared" si="39"/>
        <v>-1.1301780607068102E-3</v>
      </c>
      <c r="J1218" s="147">
        <v>258.79000000000002</v>
      </c>
      <c r="K1218" s="147">
        <v>269.25</v>
      </c>
      <c r="L1218" s="147">
        <v>256.42</v>
      </c>
      <c r="M1218" s="147">
        <v>260.49</v>
      </c>
      <c r="N1218" s="147">
        <v>224527</v>
      </c>
      <c r="O1218" s="147" t="s">
        <v>1248</v>
      </c>
      <c r="P1218" s="151">
        <f t="shared" si="40"/>
        <v>-6.5261622327151825E-3</v>
      </c>
    </row>
    <row r="1219" spans="2:16" ht="14.25" customHeight="1">
      <c r="B1219" s="243">
        <v>411.092099647265</v>
      </c>
      <c r="C1219" s="243">
        <v>411.25395442733827</v>
      </c>
      <c r="D1219" s="243">
        <v>404.4274910560128</v>
      </c>
      <c r="E1219" s="243">
        <v>407.18854318667445</v>
      </c>
      <c r="F1219" s="243">
        <v>7648925.4098000024</v>
      </c>
      <c r="G1219" s="243" t="s">
        <v>1249</v>
      </c>
      <c r="H1219" s="151">
        <f t="shared" si="39"/>
        <v>9.5866068088290568E-3</v>
      </c>
      <c r="J1219" s="147">
        <v>259.89</v>
      </c>
      <c r="K1219" s="147">
        <v>260.13990000000001</v>
      </c>
      <c r="L1219" s="147">
        <v>244.59</v>
      </c>
      <c r="M1219" s="147">
        <v>246.64</v>
      </c>
      <c r="N1219" s="147">
        <v>274171</v>
      </c>
      <c r="O1219" s="147" t="s">
        <v>1249</v>
      </c>
      <c r="P1219" s="151">
        <f t="shared" si="40"/>
        <v>5.3722024002594848E-2</v>
      </c>
    </row>
    <row r="1220" spans="2:16" ht="14.25" customHeight="1">
      <c r="B1220" s="243">
        <v>407.52177361623706</v>
      </c>
      <c r="C1220" s="243">
        <v>407.67410752689426</v>
      </c>
      <c r="D1220" s="243">
        <v>399.65753547855951</v>
      </c>
      <c r="E1220" s="243">
        <v>404.9987432209773</v>
      </c>
      <c r="F1220" s="243">
        <v>11009009.305708533</v>
      </c>
      <c r="G1220" s="243" t="s">
        <v>1250</v>
      </c>
      <c r="H1220" s="151">
        <f t="shared" si="39"/>
        <v>6.2297240114721486E-3</v>
      </c>
      <c r="J1220" s="147">
        <v>245.59</v>
      </c>
      <c r="K1220" s="147">
        <v>252</v>
      </c>
      <c r="L1220" s="147">
        <v>236.87</v>
      </c>
      <c r="M1220" s="147">
        <v>251.71</v>
      </c>
      <c r="N1220" s="147">
        <v>326631</v>
      </c>
      <c r="O1220" s="147" t="s">
        <v>1250</v>
      </c>
      <c r="P1220" s="151">
        <f t="shared" si="40"/>
        <v>-2.4313694330777458E-2</v>
      </c>
    </row>
    <row r="1221" spans="2:16" ht="14.25" customHeight="1">
      <c r="B1221" s="243">
        <v>408.05494230353719</v>
      </c>
      <c r="C1221" s="243">
        <v>410.69222313178989</v>
      </c>
      <c r="D1221" s="243">
        <v>406.73154145470289</v>
      </c>
      <c r="E1221" s="243">
        <v>409.59732314894126</v>
      </c>
      <c r="F1221" s="243">
        <v>6467409.362430661</v>
      </c>
      <c r="G1221" s="243" t="s">
        <v>1251</v>
      </c>
      <c r="H1221" s="151">
        <f t="shared" si="39"/>
        <v>-3.7656028451221735E-3</v>
      </c>
      <c r="J1221" s="147">
        <v>254.5</v>
      </c>
      <c r="K1221" s="147">
        <v>263.12</v>
      </c>
      <c r="L1221" s="147">
        <v>249.36</v>
      </c>
      <c r="M1221" s="147">
        <v>253.74</v>
      </c>
      <c r="N1221" s="147">
        <v>177126</v>
      </c>
      <c r="O1221" s="147" t="s">
        <v>1251</v>
      </c>
      <c r="P1221" s="151">
        <f t="shared" si="40"/>
        <v>2.9951919287458662E-3</v>
      </c>
    </row>
    <row r="1222" spans="2:16" ht="14.25" customHeight="1">
      <c r="B1222" s="243">
        <v>409.4735518465323</v>
      </c>
      <c r="C1222" s="243">
        <v>412.09179093595282</v>
      </c>
      <c r="D1222" s="243">
        <v>407.39800231382804</v>
      </c>
      <c r="E1222" s="243">
        <v>409.58780227952519</v>
      </c>
      <c r="F1222" s="243">
        <v>8372709.1000127401</v>
      </c>
      <c r="G1222" s="243" t="s">
        <v>1252</v>
      </c>
      <c r="H1222" s="151">
        <f t="shared" si="39"/>
        <v>-2.7894002789397021E-4</v>
      </c>
      <c r="J1222" s="147">
        <v>255.93</v>
      </c>
      <c r="K1222" s="147">
        <v>263.49</v>
      </c>
      <c r="L1222" s="147">
        <v>254.26</v>
      </c>
      <c r="M1222" s="147">
        <v>257.39999999999998</v>
      </c>
      <c r="N1222" s="147">
        <v>204819</v>
      </c>
      <c r="O1222" s="147" t="s">
        <v>1252</v>
      </c>
      <c r="P1222" s="151">
        <f t="shared" si="40"/>
        <v>-5.7109557109555897E-3</v>
      </c>
    </row>
    <row r="1223" spans="2:16" ht="14.25" customHeight="1">
      <c r="B1223" s="243">
        <v>410.02576227266468</v>
      </c>
      <c r="C1223" s="243">
        <v>418.35652301172985</v>
      </c>
      <c r="D1223" s="243">
        <v>409.89723053554764</v>
      </c>
      <c r="E1223" s="243">
        <v>417.75670823851715</v>
      </c>
      <c r="F1223" s="243">
        <v>7919032.0447737128</v>
      </c>
      <c r="G1223" s="243" t="s">
        <v>1253</v>
      </c>
      <c r="H1223" s="151">
        <f t="shared" si="39"/>
        <v>-1.8505857149368587E-2</v>
      </c>
      <c r="J1223" s="147">
        <v>260.01</v>
      </c>
      <c r="K1223" s="147">
        <v>276.48</v>
      </c>
      <c r="L1223" s="147">
        <v>258.8</v>
      </c>
      <c r="M1223" s="147">
        <v>274.22000000000003</v>
      </c>
      <c r="N1223" s="147">
        <v>250852</v>
      </c>
      <c r="O1223" s="147" t="s">
        <v>1253</v>
      </c>
      <c r="P1223" s="151">
        <f t="shared" si="40"/>
        <v>-5.181970680475545E-2</v>
      </c>
    </row>
    <row r="1224" spans="2:16" ht="14.25" customHeight="1">
      <c r="B1224" s="243">
        <v>418.03281345158331</v>
      </c>
      <c r="C1224" s="243">
        <v>420.11788385370363</v>
      </c>
      <c r="D1224" s="243">
        <v>416.27145260960958</v>
      </c>
      <c r="E1224" s="243">
        <v>419.47046473341055</v>
      </c>
      <c r="F1224" s="243">
        <v>6577379.3614133475</v>
      </c>
      <c r="G1224" s="243" t="s">
        <v>1254</v>
      </c>
      <c r="H1224" s="151">
        <f t="shared" si="39"/>
        <v>-3.4273003767760768E-3</v>
      </c>
      <c r="J1224" s="147">
        <v>276.69</v>
      </c>
      <c r="K1224" s="147">
        <v>286.97989999999999</v>
      </c>
      <c r="L1224" s="147">
        <v>275.56</v>
      </c>
      <c r="M1224" s="147">
        <v>283.99</v>
      </c>
      <c r="N1224" s="147">
        <v>178930</v>
      </c>
      <c r="O1224" s="147" t="s">
        <v>1254</v>
      </c>
      <c r="P1224" s="151">
        <f t="shared" si="40"/>
        <v>-2.5705130462340242E-2</v>
      </c>
    </row>
    <row r="1225" spans="2:16" ht="14.25" customHeight="1">
      <c r="B1225" s="243">
        <v>418.20418910107264</v>
      </c>
      <c r="C1225" s="243">
        <v>418.22323083990477</v>
      </c>
      <c r="D1225" s="243">
        <v>414.76715524186977</v>
      </c>
      <c r="E1225" s="243">
        <v>416.94743433815086</v>
      </c>
      <c r="F1225" s="243">
        <v>6320119.2423044061</v>
      </c>
      <c r="G1225" s="243" t="s">
        <v>1255</v>
      </c>
      <c r="H1225" s="151">
        <f t="shared" si="39"/>
        <v>3.0141803484573515E-3</v>
      </c>
      <c r="J1225" s="147">
        <v>283.98</v>
      </c>
      <c r="K1225" s="147">
        <v>287.52999999999997</v>
      </c>
      <c r="L1225" s="147">
        <v>277.36</v>
      </c>
      <c r="M1225" s="147">
        <v>285.33999999999997</v>
      </c>
      <c r="N1225" s="147">
        <v>223553</v>
      </c>
      <c r="O1225" s="147" t="s">
        <v>1255</v>
      </c>
      <c r="P1225" s="151">
        <f t="shared" si="40"/>
        <v>-4.7662437793507539E-3</v>
      </c>
    </row>
    <row r="1226" spans="2:16" ht="14.25" customHeight="1">
      <c r="B1226" s="243">
        <v>415.6525960975647</v>
      </c>
      <c r="C1226" s="243">
        <v>417.37587346187416</v>
      </c>
      <c r="D1226" s="243">
        <v>415.48122044807536</v>
      </c>
      <c r="E1226" s="243">
        <v>416.28097347902565</v>
      </c>
      <c r="F1226" s="243">
        <v>5446569.81771529</v>
      </c>
      <c r="G1226" s="243" t="s">
        <v>1256</v>
      </c>
      <c r="H1226" s="151">
        <f t="shared" ref="H1226:H1289" si="41">B1226/E1226-1</f>
        <v>-1.5095030075704674E-3</v>
      </c>
      <c r="J1226" s="147">
        <v>287.32</v>
      </c>
      <c r="K1226" s="147">
        <v>290.36</v>
      </c>
      <c r="L1226" s="147">
        <v>284.77</v>
      </c>
      <c r="M1226" s="147">
        <v>286.70999999999998</v>
      </c>
      <c r="N1226" s="147">
        <v>185776</v>
      </c>
      <c r="O1226" s="147" t="s">
        <v>1256</v>
      </c>
      <c r="P1226" s="151">
        <f t="shared" ref="P1226:P1289" si="42">J1226/M1226-1</f>
        <v>2.1275853650029042E-3</v>
      </c>
    </row>
    <row r="1227" spans="2:16" ht="14.25" customHeight="1">
      <c r="B1227" s="243">
        <v>416.79510042749359</v>
      </c>
      <c r="C1227" s="243">
        <v>419.26100560625696</v>
      </c>
      <c r="D1227" s="243">
        <v>416.36666130377029</v>
      </c>
      <c r="E1227" s="243">
        <v>418.33748127289766</v>
      </c>
      <c r="F1227" s="243">
        <v>3940639.0698580714</v>
      </c>
      <c r="G1227" s="243" t="s">
        <v>1257</v>
      </c>
      <c r="H1227" s="151">
        <f t="shared" si="41"/>
        <v>-3.6869296069550472E-3</v>
      </c>
      <c r="J1227" s="147">
        <v>286.5</v>
      </c>
      <c r="K1227" s="147">
        <v>287.83</v>
      </c>
      <c r="L1227" s="147">
        <v>279.95999999999998</v>
      </c>
      <c r="M1227" s="147">
        <v>281</v>
      </c>
      <c r="N1227" s="147">
        <v>178152</v>
      </c>
      <c r="O1227" s="147" t="s">
        <v>1257</v>
      </c>
      <c r="P1227" s="151">
        <f t="shared" si="42"/>
        <v>1.9572953736654908E-2</v>
      </c>
    </row>
    <row r="1228" spans="2:16" ht="14.25" customHeight="1">
      <c r="B1228" s="243">
        <v>417.97568823508686</v>
      </c>
      <c r="C1228" s="243">
        <v>418.87064996019785</v>
      </c>
      <c r="D1228" s="243">
        <v>416.57612043092394</v>
      </c>
      <c r="E1228" s="243">
        <v>417.49012389486705</v>
      </c>
      <c r="F1228" s="243">
        <v>4828010.7615373982</v>
      </c>
      <c r="G1228" s="243" t="s">
        <v>1258</v>
      </c>
      <c r="H1228" s="151">
        <f t="shared" si="41"/>
        <v>1.1630558722919293E-3</v>
      </c>
      <c r="J1228" s="147">
        <v>280.89</v>
      </c>
      <c r="K1228" s="147">
        <v>280.95</v>
      </c>
      <c r="L1228" s="147">
        <v>276.58999999999997</v>
      </c>
      <c r="M1228" s="147">
        <v>278.06</v>
      </c>
      <c r="N1228" s="147">
        <v>98694</v>
      </c>
      <c r="O1228" s="147" t="s">
        <v>1258</v>
      </c>
      <c r="P1228" s="151">
        <f t="shared" si="42"/>
        <v>1.0177659497950131E-2</v>
      </c>
    </row>
    <row r="1229" spans="2:16" ht="14.25" customHeight="1">
      <c r="B1229" s="243">
        <v>417.47108215603492</v>
      </c>
      <c r="C1229" s="243">
        <v>419.09915082618363</v>
      </c>
      <c r="D1229" s="243">
        <v>416.68561042920874</v>
      </c>
      <c r="E1229" s="243">
        <v>418.23275170932084</v>
      </c>
      <c r="F1229" s="243">
        <v>5110713.9352050982</v>
      </c>
      <c r="G1229" s="243" t="s">
        <v>1259</v>
      </c>
      <c r="H1229" s="151">
        <f t="shared" si="41"/>
        <v>-1.8211619012928892E-3</v>
      </c>
      <c r="J1229" s="147">
        <v>276.47000000000003</v>
      </c>
      <c r="K1229" s="147">
        <v>280.60000000000002</v>
      </c>
      <c r="L1229" s="147">
        <v>274.2</v>
      </c>
      <c r="M1229" s="147">
        <v>279.87</v>
      </c>
      <c r="N1229" s="147">
        <v>90614</v>
      </c>
      <c r="O1229" s="147" t="s">
        <v>1259</v>
      </c>
      <c r="P1229" s="151">
        <f t="shared" si="42"/>
        <v>-1.2148497516704104E-2</v>
      </c>
    </row>
    <row r="1230" spans="2:16" ht="14.25" customHeight="1">
      <c r="B1230" s="243">
        <v>417.7852708467654</v>
      </c>
      <c r="C1230" s="243">
        <v>417.79479171618146</v>
      </c>
      <c r="D1230" s="243">
        <v>413.15812831055314</v>
      </c>
      <c r="E1230" s="243">
        <v>413.18669091880139</v>
      </c>
      <c r="F1230" s="243">
        <v>5237249.6482110973</v>
      </c>
      <c r="G1230" s="243" t="s">
        <v>1260</v>
      </c>
      <c r="H1230" s="151">
        <f t="shared" si="41"/>
        <v>1.1129545140329045E-2</v>
      </c>
      <c r="J1230" s="147">
        <v>279.35000000000002</v>
      </c>
      <c r="K1230" s="147">
        <v>280</v>
      </c>
      <c r="L1230" s="147">
        <v>268.81</v>
      </c>
      <c r="M1230" s="147">
        <v>274.85000000000002</v>
      </c>
      <c r="N1230" s="147">
        <v>103060</v>
      </c>
      <c r="O1230" s="147" t="s">
        <v>1260</v>
      </c>
      <c r="P1230" s="151">
        <f t="shared" si="42"/>
        <v>1.6372566854647941E-2</v>
      </c>
    </row>
    <row r="1231" spans="2:16" ht="14.25" customHeight="1">
      <c r="B1231" s="243">
        <v>411.91089441704742</v>
      </c>
      <c r="C1231" s="243">
        <v>413.29741863011031</v>
      </c>
      <c r="D1231" s="243">
        <v>410.22570053040221</v>
      </c>
      <c r="E1231" s="243">
        <v>410.26378400806652</v>
      </c>
      <c r="F1231" s="243">
        <v>5285950.0325706564</v>
      </c>
      <c r="G1231" s="243" t="s">
        <v>1261</v>
      </c>
      <c r="H1231" s="151">
        <f t="shared" si="41"/>
        <v>4.0147594625328242E-3</v>
      </c>
      <c r="J1231" s="147">
        <v>275.55</v>
      </c>
      <c r="K1231" s="147">
        <v>279.88</v>
      </c>
      <c r="L1231" s="147">
        <v>270.8</v>
      </c>
      <c r="M1231" s="147">
        <v>273.89999999999998</v>
      </c>
      <c r="N1231" s="147">
        <v>208525</v>
      </c>
      <c r="O1231" s="147" t="s">
        <v>1261</v>
      </c>
      <c r="P1231" s="151">
        <f t="shared" si="42"/>
        <v>6.0240963855422436E-3</v>
      </c>
    </row>
    <row r="1232" spans="2:16" ht="14.25" customHeight="1">
      <c r="B1232" s="243">
        <v>409.38786402178766</v>
      </c>
      <c r="C1232" s="243">
        <v>409.48307271594837</v>
      </c>
      <c r="D1232" s="243">
        <v>404.94161800448086</v>
      </c>
      <c r="E1232" s="243">
        <v>405.06538930688981</v>
      </c>
      <c r="F1232" s="243">
        <v>5243442.3599712709</v>
      </c>
      <c r="G1232" s="243" t="s">
        <v>1262</v>
      </c>
      <c r="H1232" s="151">
        <f t="shared" si="41"/>
        <v>1.0671054177929351E-2</v>
      </c>
      <c r="J1232" s="147">
        <v>271.08</v>
      </c>
      <c r="K1232" s="147">
        <v>271.5</v>
      </c>
      <c r="L1232" s="147">
        <v>259.98</v>
      </c>
      <c r="M1232" s="147">
        <v>259.98</v>
      </c>
      <c r="N1232" s="147">
        <v>170479</v>
      </c>
      <c r="O1232" s="147" t="s">
        <v>1262</v>
      </c>
      <c r="P1232" s="151">
        <f t="shared" si="42"/>
        <v>4.2695591968612945E-2</v>
      </c>
    </row>
    <row r="1233" spans="2:16" ht="14.25" customHeight="1">
      <c r="B1233" s="243">
        <v>405.29389017287565</v>
      </c>
      <c r="C1233" s="243">
        <v>405.44622408353285</v>
      </c>
      <c r="D1233" s="243">
        <v>399.41951374315767</v>
      </c>
      <c r="E1233" s="243">
        <v>401.44745892878149</v>
      </c>
      <c r="F1233" s="243">
        <v>7264738.8570651868</v>
      </c>
      <c r="G1233" s="243" t="s">
        <v>1263</v>
      </c>
      <c r="H1233" s="151">
        <f t="shared" si="41"/>
        <v>9.5814063796990645E-3</v>
      </c>
      <c r="J1233" s="147">
        <v>259.66000000000003</v>
      </c>
      <c r="K1233" s="147">
        <v>262.62</v>
      </c>
      <c r="L1233" s="147">
        <v>251.92850000000001</v>
      </c>
      <c r="M1233" s="147">
        <v>252.79</v>
      </c>
      <c r="N1233" s="147">
        <v>145326</v>
      </c>
      <c r="O1233" s="147" t="s">
        <v>1263</v>
      </c>
      <c r="P1233" s="151">
        <f t="shared" si="42"/>
        <v>2.7176707939396527E-2</v>
      </c>
    </row>
    <row r="1234" spans="2:16" ht="14.25" customHeight="1">
      <c r="B1234" s="243">
        <v>398.22664401401767</v>
      </c>
      <c r="C1234" s="243">
        <v>398.62506038011077</v>
      </c>
      <c r="D1234" s="243">
        <v>394.90650762990839</v>
      </c>
      <c r="E1234" s="243">
        <v>397.83771375187911</v>
      </c>
      <c r="F1234" s="243">
        <v>10439916.163052257</v>
      </c>
      <c r="G1234" s="243" t="s">
        <v>1264</v>
      </c>
      <c r="H1234" s="151">
        <f t="shared" si="41"/>
        <v>9.7761033882548531E-4</v>
      </c>
      <c r="J1234" s="147">
        <v>250.82</v>
      </c>
      <c r="K1234" s="147">
        <v>252.75</v>
      </c>
      <c r="L1234" s="147">
        <v>246.78</v>
      </c>
      <c r="M1234" s="147">
        <v>249.69</v>
      </c>
      <c r="N1234" s="147">
        <v>117502</v>
      </c>
      <c r="O1234" s="147" t="s">
        <v>1264</v>
      </c>
      <c r="P1234" s="151">
        <f t="shared" si="42"/>
        <v>4.5256117585805722E-3</v>
      </c>
    </row>
    <row r="1235" spans="2:16" ht="14.25" customHeight="1">
      <c r="B1235" s="243">
        <v>402.58076572917804</v>
      </c>
      <c r="C1235" s="243">
        <v>406.75465146920112</v>
      </c>
      <c r="D1235" s="243">
        <v>400.94915584898723</v>
      </c>
      <c r="E1235" s="243">
        <v>403.96573690654935</v>
      </c>
      <c r="F1235" s="243">
        <v>9364699.1879044864</v>
      </c>
      <c r="G1235" s="243" t="s">
        <v>1265</v>
      </c>
      <c r="H1235" s="151">
        <f t="shared" si="41"/>
        <v>-3.4284372431607757E-3</v>
      </c>
      <c r="J1235" s="147">
        <v>253.2</v>
      </c>
      <c r="K1235" s="147">
        <v>256.74</v>
      </c>
      <c r="L1235" s="147">
        <v>245.35</v>
      </c>
      <c r="M1235" s="147">
        <v>247.43</v>
      </c>
      <c r="N1235" s="147">
        <v>412747</v>
      </c>
      <c r="O1235" s="147" t="s">
        <v>1265</v>
      </c>
      <c r="P1235" s="151">
        <f t="shared" si="42"/>
        <v>2.3319726791415585E-2</v>
      </c>
    </row>
    <row r="1236" spans="2:16" ht="14.25" customHeight="1">
      <c r="B1236" s="243">
        <v>406.80208198897407</v>
      </c>
      <c r="C1236" s="243">
        <v>412.45579994591441</v>
      </c>
      <c r="D1236" s="243">
        <v>405.38865249973907</v>
      </c>
      <c r="E1236" s="243">
        <v>412.22813345100406</v>
      </c>
      <c r="F1236" s="243">
        <v>7547375.6499683224</v>
      </c>
      <c r="G1236" s="243" t="s">
        <v>1266</v>
      </c>
      <c r="H1236" s="151">
        <f t="shared" si="41"/>
        <v>-1.3162739322533201E-2</v>
      </c>
      <c r="J1236" s="147">
        <v>247.1</v>
      </c>
      <c r="K1236" s="147">
        <v>255.28829999999999</v>
      </c>
      <c r="L1236" s="147">
        <v>246.51</v>
      </c>
      <c r="M1236" s="147">
        <v>253.94</v>
      </c>
      <c r="N1236" s="147">
        <v>161465</v>
      </c>
      <c r="O1236" s="147" t="s">
        <v>1266</v>
      </c>
      <c r="P1236" s="151">
        <f t="shared" si="42"/>
        <v>-2.6935496573993856E-2</v>
      </c>
    </row>
    <row r="1237" spans="2:16" ht="14.25" customHeight="1">
      <c r="B1237" s="243">
        <v>410.51114863522184</v>
      </c>
      <c r="C1237" s="243">
        <v>410.7293290261776</v>
      </c>
      <c r="D1237" s="243">
        <v>401.89776624444704</v>
      </c>
      <c r="E1237" s="243">
        <v>404.21237560936891</v>
      </c>
      <c r="F1237" s="243">
        <v>7243493.2538026348</v>
      </c>
      <c r="G1237" s="243" t="s">
        <v>1267</v>
      </c>
      <c r="H1237" s="151">
        <f t="shared" si="41"/>
        <v>1.5582830724460761E-2</v>
      </c>
      <c r="J1237" s="147">
        <v>253.94</v>
      </c>
      <c r="K1237" s="147">
        <v>255</v>
      </c>
      <c r="L1237" s="147">
        <v>245.45</v>
      </c>
      <c r="M1237" s="147">
        <v>245.45</v>
      </c>
      <c r="N1237" s="147">
        <v>183750</v>
      </c>
      <c r="O1237" s="147" t="s">
        <v>1267</v>
      </c>
      <c r="P1237" s="151">
        <f t="shared" si="42"/>
        <v>3.4589529435730348E-2</v>
      </c>
    </row>
    <row r="1238" spans="2:16" ht="14.25" customHeight="1">
      <c r="B1238" s="243">
        <v>404.19340340145965</v>
      </c>
      <c r="C1238" s="243">
        <v>406.23291575169821</v>
      </c>
      <c r="D1238" s="243">
        <v>401.45191935858088</v>
      </c>
      <c r="E1238" s="243">
        <v>403.91830638677635</v>
      </c>
      <c r="F1238" s="243">
        <v>6876296.1393000381</v>
      </c>
      <c r="G1238" s="243" t="s">
        <v>1268</v>
      </c>
      <c r="H1238" s="151">
        <f t="shared" si="41"/>
        <v>6.8107092531688451E-4</v>
      </c>
      <c r="J1238" s="147">
        <v>247.83</v>
      </c>
      <c r="K1238" s="147">
        <v>251.29</v>
      </c>
      <c r="L1238" s="147">
        <v>245.245</v>
      </c>
      <c r="M1238" s="147">
        <v>248.45</v>
      </c>
      <c r="N1238" s="147">
        <v>121922</v>
      </c>
      <c r="O1238" s="147" t="s">
        <v>1268</v>
      </c>
      <c r="P1238" s="151">
        <f t="shared" si="42"/>
        <v>-2.4954719259406843E-3</v>
      </c>
    </row>
    <row r="1239" spans="2:16" ht="14.25" customHeight="1">
      <c r="B1239" s="243">
        <v>406.96334575620227</v>
      </c>
      <c r="C1239" s="243">
        <v>410.4257736996305</v>
      </c>
      <c r="D1239" s="243">
        <v>406.71670705338272</v>
      </c>
      <c r="E1239" s="243">
        <v>410.14119058099254</v>
      </c>
      <c r="F1239" s="243">
        <v>6244795.5750355637</v>
      </c>
      <c r="G1239" s="243" t="s">
        <v>1269</v>
      </c>
      <c r="H1239" s="151">
        <f t="shared" si="41"/>
        <v>-7.7481728189471299E-3</v>
      </c>
      <c r="J1239" s="147">
        <v>252.7</v>
      </c>
      <c r="K1239" s="147">
        <v>254.17</v>
      </c>
      <c r="L1239" s="147">
        <v>243.2</v>
      </c>
      <c r="M1239" s="147">
        <v>245.8</v>
      </c>
      <c r="N1239" s="147">
        <v>570107</v>
      </c>
      <c r="O1239" s="147" t="s">
        <v>1269</v>
      </c>
      <c r="P1239" s="151">
        <f t="shared" si="42"/>
        <v>2.8071602929210737E-2</v>
      </c>
    </row>
    <row r="1240" spans="2:16" ht="14.25" customHeight="1">
      <c r="B1240" s="243">
        <v>410.60600967476785</v>
      </c>
      <c r="C1240" s="243">
        <v>410.71035681826839</v>
      </c>
      <c r="D1240" s="243">
        <v>406.90642913247467</v>
      </c>
      <c r="E1240" s="243">
        <v>409.26846901716954</v>
      </c>
      <c r="F1240" s="243">
        <v>6576251.9890753878</v>
      </c>
      <c r="G1240" s="243" t="s">
        <v>1270</v>
      </c>
      <c r="H1240" s="151">
        <f t="shared" si="41"/>
        <v>3.2681253476729566E-3</v>
      </c>
      <c r="J1240" s="147">
        <v>244.95</v>
      </c>
      <c r="K1240" s="147">
        <v>254.17</v>
      </c>
      <c r="L1240" s="147">
        <v>244.52</v>
      </c>
      <c r="M1240" s="147">
        <v>250.3</v>
      </c>
      <c r="N1240" s="147">
        <v>101801</v>
      </c>
      <c r="O1240" s="147" t="s">
        <v>1270</v>
      </c>
      <c r="P1240" s="151">
        <f t="shared" si="42"/>
        <v>-2.1374350779065243E-2</v>
      </c>
    </row>
    <row r="1241" spans="2:16" ht="14.25" customHeight="1">
      <c r="B1241" s="243">
        <v>406.72619315733732</v>
      </c>
      <c r="C1241" s="243">
        <v>409.15463576971433</v>
      </c>
      <c r="D1241" s="243">
        <v>406.58390159801837</v>
      </c>
      <c r="E1241" s="243">
        <v>408.33883082961893</v>
      </c>
      <c r="F1241" s="243">
        <v>5308214.019264847</v>
      </c>
      <c r="G1241" s="243" t="s">
        <v>1271</v>
      </c>
      <c r="H1241" s="151">
        <f t="shared" si="41"/>
        <v>-3.9492635784973418E-3</v>
      </c>
      <c r="J1241" s="147">
        <v>249.78</v>
      </c>
      <c r="K1241" s="147">
        <v>264.61</v>
      </c>
      <c r="L1241" s="147">
        <v>249.3</v>
      </c>
      <c r="M1241" s="147">
        <v>260.7</v>
      </c>
      <c r="N1241" s="147">
        <v>93300</v>
      </c>
      <c r="O1241" s="147" t="s">
        <v>1271</v>
      </c>
      <c r="P1241" s="151">
        <f t="shared" si="42"/>
        <v>-4.188722669735323E-2</v>
      </c>
    </row>
    <row r="1242" spans="2:16" ht="14.25" customHeight="1">
      <c r="B1242" s="243">
        <v>409.51510771998909</v>
      </c>
      <c r="C1242" s="243">
        <v>409.93249629399139</v>
      </c>
      <c r="D1242" s="243">
        <v>407.18152614715802</v>
      </c>
      <c r="E1242" s="243">
        <v>408.80364992339423</v>
      </c>
      <c r="F1242" s="243">
        <v>4719052.2277907906</v>
      </c>
      <c r="G1242" s="243" t="s">
        <v>1272</v>
      </c>
      <c r="H1242" s="151">
        <f t="shared" si="41"/>
        <v>1.7403411068570573E-3</v>
      </c>
      <c r="J1242" s="147">
        <v>261.58</v>
      </c>
      <c r="K1242" s="147">
        <v>265</v>
      </c>
      <c r="L1242" s="147">
        <v>252.99</v>
      </c>
      <c r="M1242" s="147">
        <v>256.88</v>
      </c>
      <c r="N1242" s="147">
        <v>155500</v>
      </c>
      <c r="O1242" s="147" t="s">
        <v>1272</v>
      </c>
      <c r="P1242" s="151">
        <f t="shared" si="42"/>
        <v>1.8296480847088015E-2</v>
      </c>
    </row>
    <row r="1243" spans="2:16" ht="14.25" customHeight="1">
      <c r="B1243" s="243">
        <v>408.36728914148273</v>
      </c>
      <c r="C1243" s="243">
        <v>408.94594148271324</v>
      </c>
      <c r="D1243" s="243">
        <v>404.99972223760051</v>
      </c>
      <c r="E1243" s="243">
        <v>405.03766665341891</v>
      </c>
      <c r="F1243" s="243">
        <v>4988264.9638331989</v>
      </c>
      <c r="G1243" s="243" t="s">
        <v>1273</v>
      </c>
      <c r="H1243" s="151">
        <f t="shared" si="41"/>
        <v>8.2205255515479525E-3</v>
      </c>
      <c r="J1243" s="147">
        <v>255.87</v>
      </c>
      <c r="K1243" s="147">
        <v>259.69</v>
      </c>
      <c r="L1243" s="147">
        <v>252.92</v>
      </c>
      <c r="M1243" s="147">
        <v>253.01</v>
      </c>
      <c r="N1243" s="147">
        <v>118581</v>
      </c>
      <c r="O1243" s="147" t="s">
        <v>1273</v>
      </c>
      <c r="P1243" s="151">
        <f t="shared" si="42"/>
        <v>1.1303901031579855E-2</v>
      </c>
    </row>
    <row r="1244" spans="2:16" ht="14.25" customHeight="1">
      <c r="B1244" s="243">
        <v>400.14283701284643</v>
      </c>
      <c r="C1244" s="243">
        <v>401.88828014049244</v>
      </c>
      <c r="D1244" s="243">
        <v>395.57053490673024</v>
      </c>
      <c r="E1244" s="243">
        <v>397.85668595978836</v>
      </c>
      <c r="F1244" s="243">
        <v>7684390.8045798233</v>
      </c>
      <c r="G1244" s="243" t="s">
        <v>1274</v>
      </c>
      <c r="H1244" s="151">
        <f t="shared" si="41"/>
        <v>5.7461672349252702E-3</v>
      </c>
      <c r="J1244" s="147">
        <v>248.99</v>
      </c>
      <c r="K1244" s="147">
        <v>250.29</v>
      </c>
      <c r="L1244" s="147">
        <v>236.38</v>
      </c>
      <c r="M1244" s="147">
        <v>238.82</v>
      </c>
      <c r="N1244" s="147">
        <v>191089</v>
      </c>
      <c r="O1244" s="147" t="s">
        <v>1274</v>
      </c>
      <c r="P1244" s="151">
        <f t="shared" si="42"/>
        <v>4.2584373168076395E-2</v>
      </c>
    </row>
    <row r="1245" spans="2:16" ht="14.25" customHeight="1">
      <c r="B1245" s="243">
        <v>395.41875724345664</v>
      </c>
      <c r="C1245" s="243">
        <v>401.44243325462634</v>
      </c>
      <c r="D1245" s="243">
        <v>391.55791293393531</v>
      </c>
      <c r="E1245" s="243">
        <v>400.42742013148433</v>
      </c>
      <c r="F1245" s="243">
        <v>10783068.632767944</v>
      </c>
      <c r="G1245" s="243" t="s">
        <v>1275</v>
      </c>
      <c r="H1245" s="151">
        <f t="shared" si="41"/>
        <v>-1.2508291481095446E-2</v>
      </c>
      <c r="J1245" s="147">
        <v>238.08</v>
      </c>
      <c r="K1245" s="147">
        <v>249.02500000000001</v>
      </c>
      <c r="L1245" s="147">
        <v>235.14</v>
      </c>
      <c r="M1245" s="147">
        <v>248.22</v>
      </c>
      <c r="N1245" s="147">
        <v>182764</v>
      </c>
      <c r="O1245" s="147" t="s">
        <v>1275</v>
      </c>
      <c r="P1245" s="151">
        <f t="shared" si="42"/>
        <v>-4.0850858109741317E-2</v>
      </c>
    </row>
    <row r="1246" spans="2:16" ht="14.25" customHeight="1">
      <c r="B1246" s="243">
        <v>398.94758791456707</v>
      </c>
      <c r="C1246" s="243">
        <v>400.37050350775678</v>
      </c>
      <c r="D1246" s="243">
        <v>392.75316203221468</v>
      </c>
      <c r="E1246" s="243">
        <v>393.12312008644403</v>
      </c>
      <c r="F1246" s="243">
        <v>10982034.405126488</v>
      </c>
      <c r="G1246" s="243" t="s">
        <v>1276</v>
      </c>
      <c r="H1246" s="151">
        <f t="shared" si="41"/>
        <v>1.4815887264127969E-2</v>
      </c>
      <c r="J1246" s="147">
        <v>247.58</v>
      </c>
      <c r="K1246" s="147">
        <v>247.85</v>
      </c>
      <c r="L1246" s="147">
        <v>239.60499999999999</v>
      </c>
      <c r="M1246" s="147">
        <v>243</v>
      </c>
      <c r="N1246" s="147">
        <v>127856</v>
      </c>
      <c r="O1246" s="147" t="s">
        <v>1276</v>
      </c>
      <c r="P1246" s="151">
        <f t="shared" si="42"/>
        <v>1.8847736625514422E-2</v>
      </c>
    </row>
    <row r="1247" spans="2:16" ht="14.25" customHeight="1">
      <c r="B1247" s="243">
        <v>392.95237021526123</v>
      </c>
      <c r="C1247" s="243">
        <v>405.26647148080383</v>
      </c>
      <c r="D1247" s="243">
        <v>392.69624540848713</v>
      </c>
      <c r="E1247" s="243">
        <v>402.65665456081484</v>
      </c>
      <c r="F1247" s="243">
        <v>8823950.3172879331</v>
      </c>
      <c r="G1247" s="243" t="s">
        <v>1277</v>
      </c>
      <c r="H1247" s="151">
        <f t="shared" si="41"/>
        <v>-2.4100643154993384E-2</v>
      </c>
      <c r="J1247" s="147">
        <v>243.51</v>
      </c>
      <c r="K1247" s="147">
        <v>250.74</v>
      </c>
      <c r="L1247" s="147">
        <v>243.32</v>
      </c>
      <c r="M1247" s="147">
        <v>248.54</v>
      </c>
      <c r="N1247" s="147">
        <v>188836</v>
      </c>
      <c r="O1247" s="147" t="s">
        <v>1277</v>
      </c>
      <c r="P1247" s="151">
        <f t="shared" si="42"/>
        <v>-2.0238191035648168E-2</v>
      </c>
    </row>
    <row r="1248" spans="2:16" ht="14.25" customHeight="1">
      <c r="B1248" s="243">
        <v>397.52467232137741</v>
      </c>
      <c r="C1248" s="243">
        <v>404.70565301500795</v>
      </c>
      <c r="D1248" s="243">
        <v>397.11676985132971</v>
      </c>
      <c r="E1248" s="243">
        <v>402.9696959913166</v>
      </c>
      <c r="F1248" s="243">
        <v>9126658.3641050048</v>
      </c>
      <c r="G1248" s="243" t="s">
        <v>1278</v>
      </c>
      <c r="H1248" s="151">
        <f t="shared" si="41"/>
        <v>-1.3512241054614016E-2</v>
      </c>
      <c r="J1248" s="147">
        <v>245.65</v>
      </c>
      <c r="K1248" s="147">
        <v>248.9821</v>
      </c>
      <c r="L1248" s="147">
        <v>243.14</v>
      </c>
      <c r="M1248" s="147">
        <v>243.64</v>
      </c>
      <c r="N1248" s="147">
        <v>257633</v>
      </c>
      <c r="O1248" s="147" t="s">
        <v>1278</v>
      </c>
      <c r="P1248" s="151">
        <f t="shared" si="42"/>
        <v>8.2498768675094425E-3</v>
      </c>
    </row>
    <row r="1249" spans="2:16" ht="14.25" customHeight="1">
      <c r="B1249" s="243">
        <v>405.28430535623846</v>
      </c>
      <c r="C1249" s="243">
        <v>406.93488744433847</v>
      </c>
      <c r="D1249" s="243">
        <v>402.73254339245165</v>
      </c>
      <c r="E1249" s="243">
        <v>404.78154184664476</v>
      </c>
      <c r="F1249" s="243">
        <v>6642095.6697887182</v>
      </c>
      <c r="G1249" s="243" t="s">
        <v>1279</v>
      </c>
      <c r="H1249" s="151">
        <f t="shared" si="41"/>
        <v>1.242061353143864E-3</v>
      </c>
      <c r="J1249" s="147">
        <v>245.89</v>
      </c>
      <c r="K1249" s="147">
        <v>253.97</v>
      </c>
      <c r="L1249" s="147">
        <v>245.5</v>
      </c>
      <c r="M1249" s="147">
        <v>253.25</v>
      </c>
      <c r="N1249" s="147">
        <v>129847</v>
      </c>
      <c r="O1249" s="147" t="s">
        <v>1279</v>
      </c>
      <c r="P1249" s="151">
        <f t="shared" si="42"/>
        <v>-2.9062191510365265E-2</v>
      </c>
    </row>
    <row r="1250" spans="2:16" ht="14.25" customHeight="1">
      <c r="B1250" s="243">
        <v>400.44639233939353</v>
      </c>
      <c r="C1250" s="243">
        <v>404.60130587150741</v>
      </c>
      <c r="D1250" s="243">
        <v>399.27011544902336</v>
      </c>
      <c r="E1250" s="243">
        <v>403.3396540455459</v>
      </c>
      <c r="F1250" s="243">
        <v>8119748.6732861102</v>
      </c>
      <c r="G1250" s="243" t="s">
        <v>1280</v>
      </c>
      <c r="H1250" s="151">
        <f t="shared" si="41"/>
        <v>-7.173263717397016E-3</v>
      </c>
      <c r="J1250" s="147">
        <v>250.16</v>
      </c>
      <c r="K1250" s="147">
        <v>260.14</v>
      </c>
      <c r="L1250" s="147">
        <v>250</v>
      </c>
      <c r="M1250" s="147">
        <v>256.91000000000003</v>
      </c>
      <c r="N1250" s="147">
        <v>92857</v>
      </c>
      <c r="O1250" s="147" t="s">
        <v>1280</v>
      </c>
      <c r="P1250" s="151">
        <f t="shared" si="42"/>
        <v>-2.6273792378654126E-2</v>
      </c>
    </row>
    <row r="1251" spans="2:16" ht="14.25" customHeight="1">
      <c r="B1251" s="243">
        <v>409.35384395276088</v>
      </c>
      <c r="C1251" s="243">
        <v>409.56253823976209</v>
      </c>
      <c r="D1251" s="243">
        <v>405.73015224210451</v>
      </c>
      <c r="E1251" s="243">
        <v>406.53647107824537</v>
      </c>
      <c r="F1251" s="243">
        <v>4817138.8610865399</v>
      </c>
      <c r="G1251" s="243" t="s">
        <v>1281</v>
      </c>
      <c r="H1251" s="151">
        <f t="shared" si="41"/>
        <v>6.930184804927908E-3</v>
      </c>
      <c r="J1251" s="147">
        <v>259.98</v>
      </c>
      <c r="K1251" s="147">
        <v>263.08999999999997</v>
      </c>
      <c r="L1251" s="147">
        <v>253.93</v>
      </c>
      <c r="M1251" s="147">
        <v>255.15</v>
      </c>
      <c r="N1251" s="147">
        <v>92055</v>
      </c>
      <c r="O1251" s="147" t="s">
        <v>1281</v>
      </c>
      <c r="P1251" s="151">
        <f t="shared" si="42"/>
        <v>1.8930041152263488E-2</v>
      </c>
    </row>
    <row r="1252" spans="2:16" ht="14.25" customHeight="1">
      <c r="B1252" s="243">
        <v>408.34831693357359</v>
      </c>
      <c r="C1252" s="243">
        <v>409.12617745785059</v>
      </c>
      <c r="D1252" s="243">
        <v>405.09458327714651</v>
      </c>
      <c r="E1252" s="243">
        <v>407.49456757765972</v>
      </c>
      <c r="F1252" s="243">
        <v>7169762.2464947291</v>
      </c>
      <c r="G1252" s="243" t="s">
        <v>1282</v>
      </c>
      <c r="H1252" s="151">
        <f t="shared" si="41"/>
        <v>2.0951183741881874E-3</v>
      </c>
      <c r="J1252" s="147">
        <v>256.61</v>
      </c>
      <c r="K1252" s="147">
        <v>259.13</v>
      </c>
      <c r="L1252" s="147">
        <v>251.565</v>
      </c>
      <c r="M1252" s="147">
        <v>258.83</v>
      </c>
      <c r="N1252" s="147">
        <v>100189</v>
      </c>
      <c r="O1252" s="147" t="s">
        <v>1282</v>
      </c>
      <c r="P1252" s="151">
        <f t="shared" si="42"/>
        <v>-8.5770583008151213E-3</v>
      </c>
    </row>
    <row r="1253" spans="2:16" ht="14.25" customHeight="1">
      <c r="B1253" s="243">
        <v>407.81709511211608</v>
      </c>
      <c r="C1253" s="243">
        <v>413.03445228714492</v>
      </c>
      <c r="D1253" s="243">
        <v>407.63685913697873</v>
      </c>
      <c r="E1253" s="243">
        <v>410.68189850640465</v>
      </c>
      <c r="F1253" s="243">
        <v>5140074.3902207315</v>
      </c>
      <c r="G1253" s="243" t="s">
        <v>1283</v>
      </c>
      <c r="H1253" s="151">
        <f t="shared" si="41"/>
        <v>-6.9757235580810706E-3</v>
      </c>
      <c r="J1253" s="147">
        <v>259.72000000000003</v>
      </c>
      <c r="K1253" s="147">
        <v>263</v>
      </c>
      <c r="L1253" s="147">
        <v>257.5</v>
      </c>
      <c r="M1253" s="147">
        <v>260.56</v>
      </c>
      <c r="N1253" s="147">
        <v>112092</v>
      </c>
      <c r="O1253" s="147" t="s">
        <v>1283</v>
      </c>
      <c r="P1253" s="151">
        <f t="shared" si="42"/>
        <v>-3.2238256063861215E-3</v>
      </c>
    </row>
    <row r="1254" spans="2:16" ht="14.25" customHeight="1">
      <c r="B1254" s="243">
        <v>408.89851096294024</v>
      </c>
      <c r="C1254" s="243">
        <v>410.7388151301322</v>
      </c>
      <c r="D1254" s="243">
        <v>408.26275227590304</v>
      </c>
      <c r="E1254" s="243">
        <v>409.67637148721724</v>
      </c>
      <c r="F1254" s="243">
        <v>5151245.4674624726</v>
      </c>
      <c r="G1254" s="243" t="s">
        <v>1284</v>
      </c>
      <c r="H1254" s="151">
        <f t="shared" si="41"/>
        <v>-1.8987195220783182E-3</v>
      </c>
      <c r="J1254" s="147">
        <v>262.02</v>
      </c>
      <c r="K1254" s="147">
        <v>266.10000000000002</v>
      </c>
      <c r="L1254" s="147">
        <v>260.25229999999999</v>
      </c>
      <c r="M1254" s="147">
        <v>261.33999999999997</v>
      </c>
      <c r="N1254" s="147">
        <v>144173</v>
      </c>
      <c r="O1254" s="147" t="s">
        <v>1284</v>
      </c>
      <c r="P1254" s="151">
        <f t="shared" si="42"/>
        <v>2.6019744394276678E-3</v>
      </c>
    </row>
    <row r="1255" spans="2:16" ht="14.25" customHeight="1">
      <c r="B1255" s="243">
        <v>409.66688538326264</v>
      </c>
      <c r="C1255" s="243">
        <v>409.96095460585519</v>
      </c>
      <c r="D1255" s="243">
        <v>406.76413757315572</v>
      </c>
      <c r="E1255" s="243">
        <v>409.26846901716954</v>
      </c>
      <c r="F1255" s="243">
        <v>4993433.5768101038</v>
      </c>
      <c r="G1255" s="243" t="s">
        <v>1285</v>
      </c>
      <c r="H1255" s="151">
        <f t="shared" si="41"/>
        <v>9.7348414611531098E-4</v>
      </c>
      <c r="J1255" s="147">
        <v>260.17</v>
      </c>
      <c r="K1255" s="147">
        <v>266.24</v>
      </c>
      <c r="L1255" s="147">
        <v>255.37</v>
      </c>
      <c r="M1255" s="147">
        <v>266.24</v>
      </c>
      <c r="N1255" s="147">
        <v>123580</v>
      </c>
      <c r="O1255" s="147" t="s">
        <v>1285</v>
      </c>
      <c r="P1255" s="151">
        <f t="shared" si="42"/>
        <v>-2.2798978365384581E-2</v>
      </c>
    </row>
    <row r="1256" spans="2:16" ht="14.25" customHeight="1">
      <c r="B1256" s="243">
        <v>408.25345589402758</v>
      </c>
      <c r="C1256" s="243">
        <v>409.22103849739653</v>
      </c>
      <c r="D1256" s="243">
        <v>407.75069238443388</v>
      </c>
      <c r="E1256" s="243">
        <v>409.07874693807759</v>
      </c>
      <c r="F1256" s="243">
        <v>3968811.6617941982</v>
      </c>
      <c r="G1256" s="243" t="s">
        <v>1286</v>
      </c>
      <c r="H1256" s="151">
        <f t="shared" si="41"/>
        <v>-2.0174380855207952E-3</v>
      </c>
      <c r="J1256" s="147">
        <v>266.51</v>
      </c>
      <c r="K1256" s="147">
        <v>272.38</v>
      </c>
      <c r="L1256" s="147">
        <v>263.04000000000002</v>
      </c>
      <c r="M1256" s="147">
        <v>266.89999999999998</v>
      </c>
      <c r="N1256" s="147">
        <v>112425</v>
      </c>
      <c r="O1256" s="147" t="s">
        <v>1286</v>
      </c>
      <c r="P1256" s="151">
        <f t="shared" si="42"/>
        <v>-1.4612214312476057E-3</v>
      </c>
    </row>
    <row r="1257" spans="2:16" ht="14.25" customHeight="1">
      <c r="B1257" s="243">
        <v>409.24001070530579</v>
      </c>
      <c r="C1257" s="243">
        <v>410.35937097194824</v>
      </c>
      <c r="D1257" s="243">
        <v>407.40169861994423</v>
      </c>
      <c r="E1257" s="243">
        <v>407.44713705788672</v>
      </c>
      <c r="F1257" s="243">
        <v>3443982.9203184191</v>
      </c>
      <c r="G1257" s="243" t="s">
        <v>1287</v>
      </c>
      <c r="H1257" s="151">
        <f t="shared" si="41"/>
        <v>4.4002607561930418E-3</v>
      </c>
      <c r="J1257" s="147">
        <v>265.42</v>
      </c>
      <c r="K1257" s="147">
        <v>266.185</v>
      </c>
      <c r="L1257" s="147">
        <v>256.77999999999997</v>
      </c>
      <c r="M1257" s="147">
        <v>256.77999999999997</v>
      </c>
      <c r="N1257" s="147">
        <v>105569</v>
      </c>
      <c r="O1257" s="147" t="s">
        <v>1287</v>
      </c>
      <c r="P1257" s="151">
        <f t="shared" si="42"/>
        <v>3.3647480333359514E-2</v>
      </c>
    </row>
    <row r="1258" spans="2:16" ht="14.25" customHeight="1">
      <c r="B1258" s="243">
        <v>407.68428965675167</v>
      </c>
      <c r="C1258" s="243">
        <v>408.85582349514453</v>
      </c>
      <c r="D1258" s="243">
        <v>406.62184601383672</v>
      </c>
      <c r="E1258" s="243">
        <v>408.80364992339423</v>
      </c>
      <c r="F1258" s="243">
        <v>3291431.3557428918</v>
      </c>
      <c r="G1258" s="243" t="s">
        <v>1288</v>
      </c>
      <c r="H1258" s="151">
        <f t="shared" si="41"/>
        <v>-2.7381366747882829E-3</v>
      </c>
      <c r="J1258" s="147">
        <v>257.47000000000003</v>
      </c>
      <c r="K1258" s="147">
        <v>266.83</v>
      </c>
      <c r="L1258" s="147">
        <v>256.74</v>
      </c>
      <c r="M1258" s="147">
        <v>265.36</v>
      </c>
      <c r="N1258" s="147">
        <v>123034</v>
      </c>
      <c r="O1258" s="147" t="s">
        <v>1288</v>
      </c>
      <c r="P1258" s="151">
        <f t="shared" si="42"/>
        <v>-2.9733192643955353E-2</v>
      </c>
    </row>
    <row r="1259" spans="2:16" ht="14.25" customHeight="1">
      <c r="B1259" s="243">
        <v>407.49456757765972</v>
      </c>
      <c r="C1259" s="243">
        <v>408.06373381493563</v>
      </c>
      <c r="D1259" s="243">
        <v>404.80051405455396</v>
      </c>
      <c r="E1259" s="243">
        <v>405.68272172233156</v>
      </c>
      <c r="F1259" s="243">
        <v>3853526.1868263707</v>
      </c>
      <c r="G1259" s="243" t="s">
        <v>1289</v>
      </c>
      <c r="H1259" s="151">
        <f t="shared" si="41"/>
        <v>4.4661647102837154E-3</v>
      </c>
      <c r="J1259" s="147">
        <v>266.69</v>
      </c>
      <c r="K1259" s="147">
        <v>266.91000000000003</v>
      </c>
      <c r="L1259" s="147">
        <v>262.94009999999997</v>
      </c>
      <c r="M1259" s="147">
        <v>265.83</v>
      </c>
      <c r="N1259" s="147">
        <v>106722</v>
      </c>
      <c r="O1259" s="147" t="s">
        <v>1289</v>
      </c>
      <c r="P1259" s="151">
        <f t="shared" si="42"/>
        <v>3.2351502840162194E-3</v>
      </c>
    </row>
    <row r="1260" spans="2:16" ht="14.25" customHeight="1">
      <c r="B1260" s="243">
        <v>404.4874726240522</v>
      </c>
      <c r="C1260" s="243">
        <v>405.83449938560511</v>
      </c>
      <c r="D1260" s="243">
        <v>404.4779865200976</v>
      </c>
      <c r="E1260" s="243">
        <v>405.72066613814991</v>
      </c>
      <c r="F1260" s="243">
        <v>3831531.9096185109</v>
      </c>
      <c r="G1260" s="243" t="s">
        <v>1290</v>
      </c>
      <c r="H1260" s="151">
        <f t="shared" si="41"/>
        <v>-3.0395136778115228E-3</v>
      </c>
      <c r="J1260" s="147">
        <v>264.62</v>
      </c>
      <c r="K1260" s="147">
        <v>268.70999999999998</v>
      </c>
      <c r="L1260" s="147">
        <v>258.54500000000002</v>
      </c>
      <c r="M1260" s="147">
        <v>267.64999999999998</v>
      </c>
      <c r="N1260" s="147">
        <v>138280</v>
      </c>
      <c r="O1260" s="147" t="s">
        <v>1290</v>
      </c>
      <c r="P1260" s="151">
        <f t="shared" si="42"/>
        <v>-1.1320754716981019E-2</v>
      </c>
    </row>
    <row r="1261" spans="2:16" ht="14.25" customHeight="1">
      <c r="B1261" s="243">
        <v>404.35466716868785</v>
      </c>
      <c r="C1261" s="243">
        <v>407.64634524093333</v>
      </c>
      <c r="D1261" s="243">
        <v>402.97918209527114</v>
      </c>
      <c r="E1261" s="243">
        <v>406.09062419237921</v>
      </c>
      <c r="F1261" s="243">
        <v>6694695.7680364456</v>
      </c>
      <c r="G1261" s="243" t="s">
        <v>1291</v>
      </c>
      <c r="H1261" s="151">
        <f t="shared" si="41"/>
        <v>-4.27480202761088E-3</v>
      </c>
      <c r="J1261" s="147">
        <v>269.64999999999998</v>
      </c>
      <c r="K1261" s="147">
        <v>276.87</v>
      </c>
      <c r="L1261" s="147">
        <v>268.36</v>
      </c>
      <c r="M1261" s="147">
        <v>273.08</v>
      </c>
      <c r="N1261" s="147">
        <v>119177</v>
      </c>
      <c r="O1261" s="147" t="s">
        <v>1291</v>
      </c>
      <c r="P1261" s="151">
        <f t="shared" si="42"/>
        <v>-1.2560421854401649E-2</v>
      </c>
    </row>
    <row r="1262" spans="2:16" ht="14.25" customHeight="1">
      <c r="B1262" s="243">
        <v>407.63685913697873</v>
      </c>
      <c r="C1262" s="243">
        <v>409.56253823976209</v>
      </c>
      <c r="D1262" s="243">
        <v>406.32777679124416</v>
      </c>
      <c r="E1262" s="243">
        <v>409.38230226462474</v>
      </c>
      <c r="F1262" s="243">
        <v>4950424.3496339405</v>
      </c>
      <c r="G1262" s="243" t="s">
        <v>1292</v>
      </c>
      <c r="H1262" s="151">
        <f t="shared" si="41"/>
        <v>-4.2636018166651857E-3</v>
      </c>
      <c r="J1262" s="147">
        <v>274.77999999999997</v>
      </c>
      <c r="K1262" s="147">
        <v>278</v>
      </c>
      <c r="L1262" s="147">
        <v>270.97500000000002</v>
      </c>
      <c r="M1262" s="147">
        <v>273</v>
      </c>
      <c r="N1262" s="147">
        <v>112903</v>
      </c>
      <c r="O1262" s="147" t="s">
        <v>1292</v>
      </c>
      <c r="P1262" s="151">
        <f t="shared" si="42"/>
        <v>6.5201465201463193E-3</v>
      </c>
    </row>
    <row r="1263" spans="2:16" ht="14.25" customHeight="1">
      <c r="B1263" s="243">
        <v>409.06926083412299</v>
      </c>
      <c r="C1263" s="243">
        <v>410.12221837308334</v>
      </c>
      <c r="D1263" s="243">
        <v>408.37677524543733</v>
      </c>
      <c r="E1263" s="243">
        <v>409.68585759117184</v>
      </c>
      <c r="F1263" s="243">
        <v>3701846.4237870253</v>
      </c>
      <c r="G1263" s="243" t="s">
        <v>1293</v>
      </c>
      <c r="H1263" s="151">
        <f t="shared" si="41"/>
        <v>-1.5050476984347361E-3</v>
      </c>
      <c r="J1263" s="147">
        <v>274.51</v>
      </c>
      <c r="K1263" s="147">
        <v>284.98</v>
      </c>
      <c r="L1263" s="147">
        <v>273.47000000000003</v>
      </c>
      <c r="M1263" s="147">
        <v>284.37</v>
      </c>
      <c r="N1263" s="147">
        <v>150820</v>
      </c>
      <c r="O1263" s="147" t="s">
        <v>1293</v>
      </c>
      <c r="P1263" s="151">
        <f t="shared" si="42"/>
        <v>-3.4673137110103114E-2</v>
      </c>
    </row>
    <row r="1264" spans="2:16" ht="14.25" customHeight="1">
      <c r="B1264" s="243">
        <v>408.57598342848388</v>
      </c>
      <c r="C1264" s="243">
        <v>410.52063473917644</v>
      </c>
      <c r="D1264" s="243">
        <v>407.23844277088563</v>
      </c>
      <c r="E1264" s="243">
        <v>409.37281616067014</v>
      </c>
      <c r="F1264" s="243">
        <v>5210709.2897755932</v>
      </c>
      <c r="G1264" s="243" t="s">
        <v>1294</v>
      </c>
      <c r="H1264" s="151">
        <f t="shared" si="41"/>
        <v>-1.946472019464851E-3</v>
      </c>
      <c r="J1264" s="147">
        <v>285.24</v>
      </c>
      <c r="K1264" s="147">
        <v>289.52499999999998</v>
      </c>
      <c r="L1264" s="147">
        <v>281.37</v>
      </c>
      <c r="M1264" s="147">
        <v>286.63</v>
      </c>
      <c r="N1264" s="147">
        <v>229226</v>
      </c>
      <c r="O1264" s="147" t="s">
        <v>1294</v>
      </c>
      <c r="P1264" s="151">
        <f t="shared" si="42"/>
        <v>-4.8494574887485431E-3</v>
      </c>
    </row>
    <row r="1265" spans="2:16" ht="14.25" customHeight="1">
      <c r="B1265" s="243">
        <v>407.19101225111262</v>
      </c>
      <c r="C1265" s="243">
        <v>407.30484549856777</v>
      </c>
      <c r="D1265" s="243">
        <v>405.56888847487642</v>
      </c>
      <c r="E1265" s="243">
        <v>405.86295769746891</v>
      </c>
      <c r="F1265" s="243">
        <v>4519541.4477004372</v>
      </c>
      <c r="G1265" s="243" t="s">
        <v>1295</v>
      </c>
      <c r="H1265" s="151">
        <f t="shared" si="41"/>
        <v>3.2721748276265394E-3</v>
      </c>
      <c r="J1265" s="147">
        <v>288</v>
      </c>
      <c r="K1265" s="147">
        <v>289.81</v>
      </c>
      <c r="L1265" s="147">
        <v>278</v>
      </c>
      <c r="M1265" s="147">
        <v>278.54000000000002</v>
      </c>
      <c r="N1265" s="147">
        <v>346626</v>
      </c>
      <c r="O1265" s="147" t="s">
        <v>1295</v>
      </c>
      <c r="P1265" s="151">
        <f t="shared" si="42"/>
        <v>3.396280606017088E-2</v>
      </c>
    </row>
    <row r="1266" spans="2:16" ht="14.25" customHeight="1">
      <c r="B1266" s="243">
        <v>405.29379146019306</v>
      </c>
      <c r="C1266" s="243">
        <v>405.68272172233156</v>
      </c>
      <c r="D1266" s="243">
        <v>401.91673845235619</v>
      </c>
      <c r="E1266" s="243">
        <v>402.34361313031309</v>
      </c>
      <c r="F1266" s="243">
        <v>3755925.5275429306</v>
      </c>
      <c r="G1266" s="243" t="s">
        <v>1296</v>
      </c>
      <c r="H1266" s="151">
        <f t="shared" si="41"/>
        <v>7.3324845569859853E-3</v>
      </c>
      <c r="J1266" s="147">
        <v>277.33999999999997</v>
      </c>
      <c r="K1266" s="147">
        <v>280.815</v>
      </c>
      <c r="L1266" s="147">
        <v>272.68</v>
      </c>
      <c r="M1266" s="147">
        <v>278.27</v>
      </c>
      <c r="N1266" s="147">
        <v>158014</v>
      </c>
      <c r="O1266" s="147" t="s">
        <v>1296</v>
      </c>
      <c r="P1266" s="151">
        <f t="shared" si="42"/>
        <v>-3.3420778380709448E-3</v>
      </c>
    </row>
    <row r="1267" spans="2:16" ht="14.25" customHeight="1">
      <c r="B1267" s="243">
        <v>402.86534884781599</v>
      </c>
      <c r="C1267" s="243">
        <v>403.12147365459009</v>
      </c>
      <c r="D1267" s="243">
        <v>401.27168338344353</v>
      </c>
      <c r="E1267" s="243">
        <v>401.40448883880788</v>
      </c>
      <c r="F1267" s="243">
        <v>3151150.3714347859</v>
      </c>
      <c r="G1267" s="243" t="s">
        <v>1297</v>
      </c>
      <c r="H1267" s="151">
        <f t="shared" si="41"/>
        <v>3.6393713813069883E-3</v>
      </c>
      <c r="J1267" s="147">
        <v>279.48</v>
      </c>
      <c r="K1267" s="147">
        <v>281.79000000000002</v>
      </c>
      <c r="L1267" s="147">
        <v>276.16000000000003</v>
      </c>
      <c r="M1267" s="147">
        <v>281.79000000000002</v>
      </c>
      <c r="N1267" s="147">
        <v>139495</v>
      </c>
      <c r="O1267" s="147" t="s">
        <v>1297</v>
      </c>
      <c r="P1267" s="151">
        <f t="shared" si="42"/>
        <v>-8.1975939529437269E-3</v>
      </c>
    </row>
    <row r="1268" spans="2:16" ht="14.25" customHeight="1">
      <c r="B1268" s="243">
        <v>401.30962779926193</v>
      </c>
      <c r="C1268" s="243">
        <v>401.80290520490104</v>
      </c>
      <c r="D1268" s="243">
        <v>399.63058739929812</v>
      </c>
      <c r="E1268" s="243">
        <v>401.44243325462634</v>
      </c>
      <c r="F1268" s="243">
        <v>4150613.3802082269</v>
      </c>
      <c r="G1268" s="243" t="s">
        <v>1298</v>
      </c>
      <c r="H1268" s="151">
        <f t="shared" si="41"/>
        <v>-3.3082067156608996E-4</v>
      </c>
      <c r="J1268" s="147">
        <v>279.54000000000002</v>
      </c>
      <c r="K1268" s="147">
        <v>280.66000000000003</v>
      </c>
      <c r="L1268" s="147">
        <v>274.77</v>
      </c>
      <c r="M1268" s="147">
        <v>278.06</v>
      </c>
      <c r="N1268" s="147">
        <v>135396</v>
      </c>
      <c r="O1268" s="147" t="s">
        <v>1298</v>
      </c>
      <c r="P1268" s="151">
        <f t="shared" si="42"/>
        <v>5.3225922462778463E-3</v>
      </c>
    </row>
    <row r="1269" spans="2:16" ht="14.25" customHeight="1">
      <c r="B1269" s="243">
        <v>400.46536454730278</v>
      </c>
      <c r="C1269" s="243">
        <v>400.80212123769093</v>
      </c>
      <c r="D1269" s="243">
        <v>397.34443634624006</v>
      </c>
      <c r="E1269" s="243">
        <v>397.61004725696876</v>
      </c>
      <c r="F1269" s="243">
        <v>4888983.9518911447</v>
      </c>
      <c r="G1269" s="243" t="s">
        <v>1299</v>
      </c>
      <c r="H1269" s="151">
        <f t="shared" si="41"/>
        <v>7.18120004771583E-3</v>
      </c>
      <c r="J1269" s="147">
        <v>276.55</v>
      </c>
      <c r="K1269" s="147">
        <v>279.505</v>
      </c>
      <c r="L1269" s="147">
        <v>273.32499999999999</v>
      </c>
      <c r="M1269" s="147">
        <v>277.04000000000002</v>
      </c>
      <c r="N1269" s="147">
        <v>149772</v>
      </c>
      <c r="O1269" s="147" t="s">
        <v>1299</v>
      </c>
      <c r="P1269" s="151">
        <f t="shared" si="42"/>
        <v>-1.7686976609876393E-3</v>
      </c>
    </row>
    <row r="1270" spans="2:16" ht="14.25" customHeight="1">
      <c r="B1270" s="243">
        <v>399.75390675070793</v>
      </c>
      <c r="C1270" s="243">
        <v>399.78236506257167</v>
      </c>
      <c r="D1270" s="243">
        <v>397.23060309878485</v>
      </c>
      <c r="E1270" s="243">
        <v>397.25906141064866</v>
      </c>
      <c r="F1270" s="243">
        <v>3840945.6795315761</v>
      </c>
      <c r="G1270" s="243" t="s">
        <v>1300</v>
      </c>
      <c r="H1270" s="151">
        <f t="shared" si="41"/>
        <v>6.2801470939395365E-3</v>
      </c>
      <c r="J1270" s="147">
        <v>277.91000000000003</v>
      </c>
      <c r="K1270" s="147">
        <v>278.37</v>
      </c>
      <c r="L1270" s="147">
        <v>272.13</v>
      </c>
      <c r="M1270" s="147">
        <v>272.13</v>
      </c>
      <c r="N1270" s="147">
        <v>68572</v>
      </c>
      <c r="O1270" s="147" t="s">
        <v>1300</v>
      </c>
      <c r="P1270" s="151">
        <f t="shared" si="42"/>
        <v>2.1239848601771305E-2</v>
      </c>
    </row>
    <row r="1271" spans="2:16" ht="14.25" customHeight="1">
      <c r="B1271" s="243">
        <v>395.88357633723194</v>
      </c>
      <c r="C1271" s="243">
        <v>398.69146310779297</v>
      </c>
      <c r="D1271" s="243">
        <v>395.83614581745894</v>
      </c>
      <c r="E1271" s="243">
        <v>398.09383855865332</v>
      </c>
      <c r="F1271" s="243">
        <v>3029182.4902543137</v>
      </c>
      <c r="G1271" s="243" t="s">
        <v>1301</v>
      </c>
      <c r="H1271" s="151">
        <f t="shared" si="41"/>
        <v>-5.5521136157844486E-3</v>
      </c>
      <c r="J1271" s="147">
        <v>271.41000000000003</v>
      </c>
      <c r="K1271" s="147">
        <v>275.33999999999997</v>
      </c>
      <c r="L1271" s="147">
        <v>267.24</v>
      </c>
      <c r="M1271" s="147">
        <v>275.33999999999997</v>
      </c>
      <c r="N1271" s="147">
        <v>69796</v>
      </c>
      <c r="O1271" s="147" t="s">
        <v>1301</v>
      </c>
      <c r="P1271" s="151">
        <f t="shared" si="42"/>
        <v>-1.4273262148616128E-2</v>
      </c>
    </row>
    <row r="1272" spans="2:16" ht="14.25" customHeight="1">
      <c r="B1272" s="243">
        <v>397.61004725696876</v>
      </c>
      <c r="C1272" s="243">
        <v>399.86717083192582</v>
      </c>
      <c r="D1272" s="243">
        <v>397.33495024228546</v>
      </c>
      <c r="E1272" s="243">
        <v>398.67249089988371</v>
      </c>
      <c r="F1272" s="243">
        <v>3252400.5795915779</v>
      </c>
      <c r="G1272" s="243" t="s">
        <v>1302</v>
      </c>
      <c r="H1272" s="151">
        <f t="shared" si="41"/>
        <v>-2.6649534822852372E-3</v>
      </c>
      <c r="J1272" s="147">
        <v>275.54000000000002</v>
      </c>
      <c r="K1272" s="147">
        <v>280.24</v>
      </c>
      <c r="L1272" s="147">
        <v>275.08</v>
      </c>
      <c r="M1272" s="147">
        <v>277.58</v>
      </c>
      <c r="N1272" s="147">
        <v>131029</v>
      </c>
      <c r="O1272" s="147" t="s">
        <v>1302</v>
      </c>
      <c r="P1272" s="151">
        <f t="shared" si="42"/>
        <v>-7.3492326536492847E-3</v>
      </c>
    </row>
    <row r="1273" spans="2:16" ht="14.25" customHeight="1">
      <c r="B1273" s="243">
        <v>397.23060309878485</v>
      </c>
      <c r="C1273" s="243">
        <v>397.60056115301416</v>
      </c>
      <c r="D1273" s="243">
        <v>394.55552178358829</v>
      </c>
      <c r="E1273" s="243">
        <v>396.1776455598245</v>
      </c>
      <c r="F1273" s="243">
        <v>2647520.0061271843</v>
      </c>
      <c r="G1273" s="243" t="s">
        <v>1303</v>
      </c>
      <c r="H1273" s="151">
        <f t="shared" si="41"/>
        <v>2.6577913992913427E-3</v>
      </c>
      <c r="J1273" s="147">
        <v>278.19</v>
      </c>
      <c r="K1273" s="147">
        <v>284.14499999999998</v>
      </c>
      <c r="L1273" s="147">
        <v>277.83999999999997</v>
      </c>
      <c r="M1273" s="147">
        <v>280.08999999999997</v>
      </c>
      <c r="N1273" s="147">
        <v>97849</v>
      </c>
      <c r="O1273" s="147" t="s">
        <v>1303</v>
      </c>
      <c r="P1273" s="151">
        <f t="shared" si="42"/>
        <v>-6.78353386411501E-3</v>
      </c>
    </row>
    <row r="1274" spans="2:16" ht="14.25" customHeight="1">
      <c r="B1274" s="243">
        <v>395.18160464459169</v>
      </c>
      <c r="C1274" s="243">
        <v>396.51914530219005</v>
      </c>
      <c r="D1274" s="243">
        <v>393.38873099717273</v>
      </c>
      <c r="E1274" s="243">
        <v>395.17211854063714</v>
      </c>
      <c r="F1274" s="243">
        <v>3846526.4743714156</v>
      </c>
      <c r="G1274" s="243" t="s">
        <v>1304</v>
      </c>
      <c r="H1274" s="151">
        <f t="shared" si="41"/>
        <v>2.4004993038451161E-5</v>
      </c>
      <c r="J1274" s="147">
        <v>279</v>
      </c>
      <c r="K1274" s="147">
        <v>282.68</v>
      </c>
      <c r="L1274" s="147">
        <v>277.29500000000002</v>
      </c>
      <c r="M1274" s="147">
        <v>280.3</v>
      </c>
      <c r="N1274" s="147">
        <v>57314</v>
      </c>
      <c r="O1274" s="147" t="s">
        <v>1304</v>
      </c>
      <c r="P1274" s="151">
        <f t="shared" si="42"/>
        <v>-4.6378879771673542E-3</v>
      </c>
    </row>
    <row r="1275" spans="2:16" ht="14.25" customHeight="1">
      <c r="B1275" s="243">
        <v>395.58002101068485</v>
      </c>
      <c r="C1275" s="243">
        <v>395.7982014016406</v>
      </c>
      <c r="D1275" s="243">
        <v>393.62104568302084</v>
      </c>
      <c r="E1275" s="243">
        <v>394.03378606608538</v>
      </c>
      <c r="F1275" s="243">
        <v>2719187.9957732898</v>
      </c>
      <c r="G1275" s="243" t="s">
        <v>1305</v>
      </c>
      <c r="H1275" s="151">
        <f t="shared" si="41"/>
        <v>3.9241176753816998E-3</v>
      </c>
      <c r="J1275" s="147">
        <v>278.5</v>
      </c>
      <c r="K1275" s="147">
        <v>278.70999999999998</v>
      </c>
      <c r="L1275" s="147">
        <v>271.99</v>
      </c>
      <c r="M1275" s="147">
        <v>272.16000000000003</v>
      </c>
      <c r="N1275" s="147">
        <v>72618</v>
      </c>
      <c r="O1275" s="147" t="s">
        <v>1305</v>
      </c>
      <c r="P1275" s="151">
        <f t="shared" si="42"/>
        <v>2.3295120517342616E-2</v>
      </c>
    </row>
    <row r="1276" spans="2:16" ht="14.25" customHeight="1">
      <c r="B1276" s="243">
        <v>394.61243840731589</v>
      </c>
      <c r="C1276" s="243">
        <v>394.83061879827164</v>
      </c>
      <c r="D1276" s="243">
        <v>393.34130047739973</v>
      </c>
      <c r="E1276" s="243">
        <v>393.42667541299113</v>
      </c>
      <c r="F1276" s="243">
        <v>3381953.2395541896</v>
      </c>
      <c r="G1276" s="243" t="s">
        <v>1306</v>
      </c>
      <c r="H1276" s="151">
        <f t="shared" si="41"/>
        <v>3.0139364421084558E-3</v>
      </c>
      <c r="J1276" s="147">
        <v>273.77999999999997</v>
      </c>
      <c r="K1276" s="147">
        <v>276.30279999999999</v>
      </c>
      <c r="L1276" s="147">
        <v>270.81</v>
      </c>
      <c r="M1276" s="147">
        <v>275.02</v>
      </c>
      <c r="N1276" s="147">
        <v>103626</v>
      </c>
      <c r="O1276" s="147" t="s">
        <v>1306</v>
      </c>
      <c r="P1276" s="151">
        <f t="shared" si="42"/>
        <v>-4.5087629990546718E-3</v>
      </c>
    </row>
    <row r="1277" spans="2:16" ht="14.25" customHeight="1">
      <c r="B1277" s="243">
        <v>393.08517567062563</v>
      </c>
      <c r="C1277" s="243">
        <v>393.08517567062563</v>
      </c>
      <c r="D1277" s="243">
        <v>390.96028838479566</v>
      </c>
      <c r="E1277" s="243">
        <v>391.52945462207157</v>
      </c>
      <c r="F1277" s="243">
        <v>2992020.7638293006</v>
      </c>
      <c r="G1277" s="243" t="s">
        <v>1307</v>
      </c>
      <c r="H1277" s="151">
        <f t="shared" si="41"/>
        <v>3.9734457527742517E-3</v>
      </c>
      <c r="J1277" s="147">
        <v>272.33</v>
      </c>
      <c r="K1277" s="147">
        <v>275.48</v>
      </c>
      <c r="L1277" s="147">
        <v>266.33999999999997</v>
      </c>
      <c r="M1277" s="147">
        <v>268.04000000000002</v>
      </c>
      <c r="N1277" s="147">
        <v>101876</v>
      </c>
      <c r="O1277" s="147" t="s">
        <v>1307</v>
      </c>
      <c r="P1277" s="151">
        <f t="shared" si="42"/>
        <v>1.6005073869571618E-2</v>
      </c>
    </row>
    <row r="1278" spans="2:16" ht="14.25" customHeight="1">
      <c r="B1278" s="243">
        <v>390.04962240515431</v>
      </c>
      <c r="C1278" s="243">
        <v>390.31523331588301</v>
      </c>
      <c r="D1278" s="243">
        <v>386.58719446172609</v>
      </c>
      <c r="E1278" s="243">
        <v>387.22276342668414</v>
      </c>
      <c r="F1278" s="243">
        <v>3587004.7558890074</v>
      </c>
      <c r="G1278" s="243" t="s">
        <v>1308</v>
      </c>
      <c r="H1278" s="151">
        <f t="shared" si="41"/>
        <v>7.3003429691327337E-3</v>
      </c>
      <c r="J1278" s="147">
        <v>265.75</v>
      </c>
      <c r="K1278" s="147">
        <v>268.59500000000003</v>
      </c>
      <c r="L1278" s="147">
        <v>264.33100000000002</v>
      </c>
      <c r="M1278" s="147">
        <v>266.45999999999998</v>
      </c>
      <c r="N1278" s="147">
        <v>79567</v>
      </c>
      <c r="O1278" s="147" t="s">
        <v>1308</v>
      </c>
      <c r="P1278" s="151">
        <f t="shared" si="42"/>
        <v>-2.664565037904354E-3</v>
      </c>
    </row>
    <row r="1279" spans="2:16" ht="14.25" customHeight="1">
      <c r="B1279" s="243">
        <v>388.86385941082955</v>
      </c>
      <c r="C1279" s="243">
        <v>389.1769008413313</v>
      </c>
      <c r="D1279" s="243">
        <v>387.29390920634359</v>
      </c>
      <c r="E1279" s="243">
        <v>387.9057629114152</v>
      </c>
      <c r="F1279" s="243">
        <v>3691314.1757241548</v>
      </c>
      <c r="G1279" s="243" t="s">
        <v>1309</v>
      </c>
      <c r="H1279" s="151">
        <f t="shared" si="41"/>
        <v>2.4699207668981149E-3</v>
      </c>
      <c r="J1279" s="147">
        <v>267.75</v>
      </c>
      <c r="K1279" s="147">
        <v>271.22000000000003</v>
      </c>
      <c r="L1279" s="147">
        <v>265.93</v>
      </c>
      <c r="M1279" s="147">
        <v>271.22000000000003</v>
      </c>
      <c r="N1279" s="147">
        <v>117639</v>
      </c>
      <c r="O1279" s="147" t="s">
        <v>1309</v>
      </c>
      <c r="P1279" s="151">
        <f t="shared" si="42"/>
        <v>-1.2794041737335116E-2</v>
      </c>
    </row>
    <row r="1280" spans="2:16" ht="14.25" customHeight="1">
      <c r="B1280" s="243">
        <v>385.85676445722203</v>
      </c>
      <c r="C1280" s="243">
        <v>386.03700043235938</v>
      </c>
      <c r="D1280" s="243">
        <v>382.49868365729446</v>
      </c>
      <c r="E1280" s="243">
        <v>382.95401664711511</v>
      </c>
      <c r="F1280" s="243">
        <v>3993620.5824139151</v>
      </c>
      <c r="G1280" s="243" t="s">
        <v>1310</v>
      </c>
      <c r="H1280" s="151">
        <f t="shared" si="41"/>
        <v>7.5798860540003954E-3</v>
      </c>
      <c r="J1280" s="147">
        <v>269.70999999999998</v>
      </c>
      <c r="K1280" s="147">
        <v>272.68</v>
      </c>
      <c r="L1280" s="147">
        <v>265.39</v>
      </c>
      <c r="M1280" s="147">
        <v>266.43</v>
      </c>
      <c r="N1280" s="147">
        <v>86800</v>
      </c>
      <c r="O1280" s="147" t="s">
        <v>1310</v>
      </c>
      <c r="P1280" s="151">
        <f t="shared" si="42"/>
        <v>1.231092594677774E-2</v>
      </c>
    </row>
    <row r="1281" spans="2:16" ht="14.25" customHeight="1">
      <c r="B1281" s="243">
        <v>379.48210259973234</v>
      </c>
      <c r="C1281" s="243">
        <v>380.27893533191849</v>
      </c>
      <c r="D1281" s="243">
        <v>376.36117439866962</v>
      </c>
      <c r="E1281" s="243">
        <v>379.10265844154839</v>
      </c>
      <c r="F1281" s="243">
        <v>6844077.4327095561</v>
      </c>
      <c r="G1281" s="243" t="s">
        <v>1311</v>
      </c>
      <c r="H1281" s="151">
        <f t="shared" si="41"/>
        <v>1.0009008107296768E-3</v>
      </c>
      <c r="J1281" s="147">
        <v>263.45</v>
      </c>
      <c r="K1281" s="147">
        <v>265.07</v>
      </c>
      <c r="L1281" s="147">
        <v>260.89</v>
      </c>
      <c r="M1281" s="147">
        <v>260.89</v>
      </c>
      <c r="N1281" s="147">
        <v>70345</v>
      </c>
      <c r="O1281" s="147" t="s">
        <v>1311</v>
      </c>
      <c r="P1281" s="151">
        <f t="shared" si="42"/>
        <v>9.8125646824331891E-3</v>
      </c>
    </row>
    <row r="1282" spans="2:16" ht="14.25" customHeight="1">
      <c r="B1282" s="243">
        <v>378.26788129354378</v>
      </c>
      <c r="C1282" s="243">
        <v>380.31687974773695</v>
      </c>
      <c r="D1282" s="243">
        <v>377.42361804158458</v>
      </c>
      <c r="E1282" s="243">
        <v>379.96589390141679</v>
      </c>
      <c r="F1282" s="243">
        <v>6537208.5628413241</v>
      </c>
      <c r="G1282" s="243" t="s">
        <v>1312</v>
      </c>
      <c r="H1282" s="151">
        <f t="shared" si="41"/>
        <v>-4.4688553239295992E-3</v>
      </c>
      <c r="J1282" s="147">
        <v>261.62</v>
      </c>
      <c r="K1282" s="147">
        <v>264.62</v>
      </c>
      <c r="L1282" s="147">
        <v>255</v>
      </c>
      <c r="M1282" s="147">
        <v>255</v>
      </c>
      <c r="N1282" s="147">
        <v>99603</v>
      </c>
      <c r="O1282" s="147" t="s">
        <v>1312</v>
      </c>
      <c r="P1282" s="151">
        <f t="shared" si="42"/>
        <v>2.5960784313725505E-2</v>
      </c>
    </row>
    <row r="1283" spans="2:16" ht="14.25" customHeight="1">
      <c r="B1283" s="243">
        <v>379.02676960991158</v>
      </c>
      <c r="C1283" s="243">
        <v>383.94057145839326</v>
      </c>
      <c r="D1283" s="243">
        <v>379.02676960991158</v>
      </c>
      <c r="E1283" s="243">
        <v>381.2560040392421</v>
      </c>
      <c r="F1283" s="243">
        <v>3895879.7180466633</v>
      </c>
      <c r="G1283" s="243" t="s">
        <v>1313</v>
      </c>
      <c r="H1283" s="151">
        <f t="shared" si="41"/>
        <v>-5.8470801920829096E-3</v>
      </c>
      <c r="J1283" s="147">
        <v>253</v>
      </c>
      <c r="K1283" s="147">
        <v>256.95999999999998</v>
      </c>
      <c r="L1283" s="147">
        <v>252.77</v>
      </c>
      <c r="M1283" s="147">
        <v>252.83</v>
      </c>
      <c r="N1283" s="147">
        <v>87790</v>
      </c>
      <c r="O1283" s="147" t="s">
        <v>1313</v>
      </c>
      <c r="P1283" s="151">
        <f t="shared" si="42"/>
        <v>6.7238856148388315E-4</v>
      </c>
    </row>
    <row r="1284" spans="2:16" ht="14.25" customHeight="1">
      <c r="B1284" s="243">
        <v>381.80619806860875</v>
      </c>
      <c r="C1284" s="243">
        <v>383.606755460231</v>
      </c>
      <c r="D1284" s="243">
        <v>381.2844623511059</v>
      </c>
      <c r="E1284" s="243">
        <v>383.27654418157147</v>
      </c>
      <c r="F1284" s="243">
        <v>4175496.092977318</v>
      </c>
      <c r="G1284" s="243" t="s">
        <v>1314</v>
      </c>
      <c r="H1284" s="151">
        <f t="shared" si="41"/>
        <v>-3.8362538362539667E-3</v>
      </c>
      <c r="J1284" s="147">
        <v>255.22</v>
      </c>
      <c r="K1284" s="147">
        <v>263.67</v>
      </c>
      <c r="L1284" s="147">
        <v>254.3</v>
      </c>
      <c r="M1284" s="147">
        <v>263.67</v>
      </c>
      <c r="N1284" s="147">
        <v>72098</v>
      </c>
      <c r="O1284" s="147" t="s">
        <v>1314</v>
      </c>
      <c r="P1284" s="151">
        <f t="shared" si="42"/>
        <v>-3.2047635301702959E-2</v>
      </c>
    </row>
    <row r="1285" spans="2:16" ht="14.25" customHeight="1">
      <c r="B1285" s="243">
        <v>382.52714196915821</v>
      </c>
      <c r="C1285" s="243">
        <v>385.18325107644563</v>
      </c>
      <c r="D1285" s="243">
        <v>382.14769781097431</v>
      </c>
      <c r="E1285" s="243">
        <v>382.35639209797546</v>
      </c>
      <c r="F1285" s="243">
        <v>4648056.8008775553</v>
      </c>
      <c r="G1285" s="243" t="s">
        <v>1315</v>
      </c>
      <c r="H1285" s="151">
        <f t="shared" si="41"/>
        <v>4.4657255563551601E-4</v>
      </c>
      <c r="J1285" s="147">
        <v>261.60000000000002</v>
      </c>
      <c r="K1285" s="147">
        <v>270.88</v>
      </c>
      <c r="L1285" s="147">
        <v>260.17</v>
      </c>
      <c r="M1285" s="147">
        <v>260.17</v>
      </c>
      <c r="N1285" s="147">
        <v>123132</v>
      </c>
      <c r="O1285" s="147" t="s">
        <v>1315</v>
      </c>
      <c r="P1285" s="151">
        <f t="shared" si="42"/>
        <v>5.496406195948822E-3</v>
      </c>
    </row>
    <row r="1286" spans="2:16" ht="14.25" customHeight="1">
      <c r="B1286" s="243">
        <v>379.26392220877653</v>
      </c>
      <c r="C1286" s="243">
        <v>379.46313039182309</v>
      </c>
      <c r="D1286" s="243">
        <v>372.86080203942299</v>
      </c>
      <c r="E1286" s="243">
        <v>374.36909256820405</v>
      </c>
      <c r="F1286" s="243">
        <v>6946952.1223261496</v>
      </c>
      <c r="G1286" s="243" t="s">
        <v>1316</v>
      </c>
      <c r="H1286" s="151">
        <f t="shared" si="41"/>
        <v>1.3074876472823904E-2</v>
      </c>
      <c r="J1286" s="147">
        <v>259.44</v>
      </c>
      <c r="K1286" s="147">
        <v>259.61</v>
      </c>
      <c r="L1286" s="147">
        <v>252.01499999999999</v>
      </c>
      <c r="M1286" s="147">
        <v>255.85</v>
      </c>
      <c r="N1286" s="147">
        <v>145285</v>
      </c>
      <c r="O1286" s="147" t="s">
        <v>1316</v>
      </c>
      <c r="P1286" s="151">
        <f t="shared" si="42"/>
        <v>1.4031659175298028E-2</v>
      </c>
    </row>
    <row r="1287" spans="2:16" ht="14.25" customHeight="1">
      <c r="B1287" s="243">
        <v>377.58488180881272</v>
      </c>
      <c r="C1287" s="243">
        <v>379.77863820935301</v>
      </c>
      <c r="D1287" s="243">
        <v>374.50189802356846</v>
      </c>
      <c r="E1287" s="243">
        <v>375.23232802807246</v>
      </c>
      <c r="F1287" s="243">
        <v>5822457.8039996307</v>
      </c>
      <c r="G1287" s="243" t="s">
        <v>1317</v>
      </c>
      <c r="H1287" s="151">
        <f t="shared" si="41"/>
        <v>6.2695924764890609E-3</v>
      </c>
      <c r="J1287" s="147">
        <v>258.69</v>
      </c>
      <c r="K1287" s="147">
        <v>263.61</v>
      </c>
      <c r="L1287" s="147">
        <v>256</v>
      </c>
      <c r="M1287" s="147">
        <v>256</v>
      </c>
      <c r="N1287" s="147">
        <v>196741</v>
      </c>
      <c r="O1287" s="147" t="s">
        <v>1317</v>
      </c>
      <c r="P1287" s="151">
        <f t="shared" si="42"/>
        <v>1.0507812499999991E-2</v>
      </c>
    </row>
    <row r="1288" spans="2:16" ht="14.25" customHeight="1">
      <c r="B1288" s="243">
        <v>373.95170399420175</v>
      </c>
      <c r="C1288" s="243">
        <v>378.43863116472653</v>
      </c>
      <c r="D1288" s="243">
        <v>371.81733060441724</v>
      </c>
      <c r="E1288" s="243">
        <v>377.66077064044953</v>
      </c>
      <c r="F1288" s="243">
        <v>9298260.9533019103</v>
      </c>
      <c r="G1288" s="243" t="s">
        <v>1318</v>
      </c>
      <c r="H1288" s="151">
        <f t="shared" si="41"/>
        <v>-9.8211594494123089E-3</v>
      </c>
      <c r="J1288" s="147">
        <v>255.42</v>
      </c>
      <c r="K1288" s="147">
        <v>262.89999999999998</v>
      </c>
      <c r="L1288" s="147">
        <v>252.6515</v>
      </c>
      <c r="M1288" s="147">
        <v>262.57</v>
      </c>
      <c r="N1288" s="147">
        <v>198325</v>
      </c>
      <c r="O1288" s="147" t="s">
        <v>1318</v>
      </c>
      <c r="P1288" s="151">
        <f t="shared" si="42"/>
        <v>-2.7230833682446609E-2</v>
      </c>
    </row>
    <row r="1289" spans="2:16" ht="14.25" customHeight="1">
      <c r="B1289" s="243">
        <v>378.60938103590928</v>
      </c>
      <c r="C1289" s="243">
        <v>380.25047702005475</v>
      </c>
      <c r="D1289" s="243">
        <v>372.58570502473964</v>
      </c>
      <c r="E1289" s="243">
        <v>375.86429227352778</v>
      </c>
      <c r="F1289" s="243">
        <v>8941706.7750862446</v>
      </c>
      <c r="G1289" s="243" t="s">
        <v>1319</v>
      </c>
      <c r="H1289" s="151">
        <f t="shared" si="41"/>
        <v>7.3034039647048576E-3</v>
      </c>
      <c r="J1289" s="147">
        <v>263.08999999999997</v>
      </c>
      <c r="K1289" s="147">
        <v>269.58</v>
      </c>
      <c r="L1289" s="147">
        <v>258.52999999999997</v>
      </c>
      <c r="M1289" s="147">
        <v>267.06</v>
      </c>
      <c r="N1289" s="147">
        <v>144704</v>
      </c>
      <c r="O1289" s="147" t="s">
        <v>1319</v>
      </c>
      <c r="P1289" s="151">
        <f t="shared" si="42"/>
        <v>-1.4865573279412958E-2</v>
      </c>
    </row>
    <row r="1290" spans="2:16" ht="14.25" customHeight="1">
      <c r="B1290" s="243">
        <v>374.1319399693391</v>
      </c>
      <c r="C1290" s="243">
        <v>380.88604598501274</v>
      </c>
      <c r="D1290" s="243">
        <v>374.0750233456115</v>
      </c>
      <c r="E1290" s="243">
        <v>380.25047702005475</v>
      </c>
      <c r="F1290" s="243">
        <v>10026408.149775768</v>
      </c>
      <c r="G1290" s="243" t="s">
        <v>1320</v>
      </c>
      <c r="H1290" s="151">
        <f t="shared" ref="H1290:H1353" si="43">B1290/E1290-1</f>
        <v>-1.6090807035050614E-2</v>
      </c>
      <c r="J1290" s="147">
        <v>266.5</v>
      </c>
      <c r="K1290" s="147">
        <v>271.77999999999997</v>
      </c>
      <c r="L1290" s="147">
        <v>265.29000000000002</v>
      </c>
      <c r="M1290" s="147">
        <v>267.70999999999998</v>
      </c>
      <c r="N1290" s="147">
        <v>165230</v>
      </c>
      <c r="O1290" s="147" t="s">
        <v>1320</v>
      </c>
      <c r="P1290" s="151">
        <f t="shared" ref="P1290:P1353" si="44">J1290/M1290-1</f>
        <v>-4.5198162190429603E-3</v>
      </c>
    </row>
    <row r="1291" spans="2:16" ht="14.25" customHeight="1">
      <c r="B1291" s="243">
        <v>378.93190857036558</v>
      </c>
      <c r="C1291" s="243">
        <v>381.14217079178695</v>
      </c>
      <c r="D1291" s="243">
        <v>378.36274233308978</v>
      </c>
      <c r="E1291" s="243">
        <v>379.53901922345989</v>
      </c>
      <c r="F1291" s="243">
        <v>4980090.9020296261</v>
      </c>
      <c r="G1291" s="243" t="s">
        <v>1321</v>
      </c>
      <c r="H1291" s="151">
        <f t="shared" si="43"/>
        <v>-1.5996000999751736E-3</v>
      </c>
      <c r="J1291" s="147">
        <v>265.10000000000002</v>
      </c>
      <c r="K1291" s="147">
        <v>269.96499999999997</v>
      </c>
      <c r="L1291" s="147">
        <v>262.48</v>
      </c>
      <c r="M1291" s="147">
        <v>262.99</v>
      </c>
      <c r="N1291" s="147">
        <v>122689</v>
      </c>
      <c r="O1291" s="147" t="s">
        <v>1321</v>
      </c>
      <c r="P1291" s="151">
        <f t="shared" si="44"/>
        <v>8.0231187497623591E-3</v>
      </c>
    </row>
    <row r="1292" spans="2:16" ht="14.25" customHeight="1">
      <c r="B1292" s="243">
        <v>378.33580179785884</v>
      </c>
      <c r="C1292" s="243">
        <v>383.753565941163</v>
      </c>
      <c r="D1292" s="243">
        <v>377.56993985089957</v>
      </c>
      <c r="E1292" s="243">
        <v>383.45100319668529</v>
      </c>
      <c r="F1292" s="243">
        <v>8708867.5922360122</v>
      </c>
      <c r="G1292" s="243" t="s">
        <v>1322</v>
      </c>
      <c r="H1292" s="151">
        <f t="shared" si="43"/>
        <v>-1.3339908765873543E-2</v>
      </c>
      <c r="J1292" s="147">
        <v>262.02</v>
      </c>
      <c r="K1292" s="147">
        <v>268.07</v>
      </c>
      <c r="L1292" s="147">
        <v>257.35000000000002</v>
      </c>
      <c r="M1292" s="147">
        <v>268.07</v>
      </c>
      <c r="N1292" s="147">
        <v>181402</v>
      </c>
      <c r="O1292" s="147" t="s">
        <v>1322</v>
      </c>
      <c r="P1292" s="151">
        <f t="shared" si="44"/>
        <v>-2.2568732047599571E-2</v>
      </c>
    </row>
    <row r="1293" spans="2:16" ht="14.25" customHeight="1">
      <c r="B1293" s="243">
        <v>386.05115178204068</v>
      </c>
      <c r="C1293" s="243">
        <v>387.25194767418662</v>
      </c>
      <c r="D1293" s="243">
        <v>385.37984069273074</v>
      </c>
      <c r="E1293" s="243">
        <v>386.16536921808103</v>
      </c>
      <c r="F1293" s="243">
        <v>3750997.175673665</v>
      </c>
      <c r="G1293" s="243" t="s">
        <v>1323</v>
      </c>
      <c r="H1293" s="151">
        <f t="shared" si="43"/>
        <v>-2.9577337882891186E-4</v>
      </c>
      <c r="J1293" s="147">
        <v>271.22000000000003</v>
      </c>
      <c r="K1293" s="147">
        <v>278.64999999999998</v>
      </c>
      <c r="L1293" s="147">
        <v>269.20999999999998</v>
      </c>
      <c r="M1293" s="147">
        <v>278.64999999999998</v>
      </c>
      <c r="N1293" s="147">
        <v>86752</v>
      </c>
      <c r="O1293" s="147" t="s">
        <v>1323</v>
      </c>
      <c r="P1293" s="151">
        <f t="shared" si="44"/>
        <v>-2.6664274179077574E-2</v>
      </c>
    </row>
    <row r="1294" spans="2:16" ht="14.25" customHeight="1">
      <c r="B1294" s="243">
        <v>387.1479417307724</v>
      </c>
      <c r="C1294" s="243">
        <v>387.78143247702263</v>
      </c>
      <c r="D1294" s="243">
        <v>384.77471520377532</v>
      </c>
      <c r="E1294" s="243">
        <v>384.98272709060376</v>
      </c>
      <c r="F1294" s="243">
        <v>3614655.7365741208</v>
      </c>
      <c r="G1294" s="243" t="s">
        <v>1324</v>
      </c>
      <c r="H1294" s="151">
        <f t="shared" si="43"/>
        <v>5.624186457744873E-3</v>
      </c>
      <c r="J1294" s="147">
        <v>278.73</v>
      </c>
      <c r="K1294" s="147">
        <v>285.75</v>
      </c>
      <c r="L1294" s="147">
        <v>278.60000000000002</v>
      </c>
      <c r="M1294" s="147">
        <v>282.13</v>
      </c>
      <c r="N1294" s="147">
        <v>82689</v>
      </c>
      <c r="O1294" s="147" t="s">
        <v>1324</v>
      </c>
      <c r="P1294" s="151">
        <f t="shared" si="44"/>
        <v>-1.205118207918332E-2</v>
      </c>
    </row>
    <row r="1295" spans="2:16" ht="14.25" customHeight="1">
      <c r="B1295" s="243">
        <v>386.50499589875722</v>
      </c>
      <c r="C1295" s="243">
        <v>387.96107910655627</v>
      </c>
      <c r="D1295" s="243">
        <v>383.37536251056588</v>
      </c>
      <c r="E1295" s="243">
        <v>383.60228456892412</v>
      </c>
      <c r="F1295" s="243">
        <v>4334220.8647124665</v>
      </c>
      <c r="G1295" s="243" t="s">
        <v>1325</v>
      </c>
      <c r="H1295" s="151">
        <f t="shared" si="43"/>
        <v>7.5669813413521414E-3</v>
      </c>
      <c r="J1295" s="147">
        <v>282.58999999999997</v>
      </c>
      <c r="K1295" s="147">
        <v>286</v>
      </c>
      <c r="L1295" s="147">
        <v>281.495</v>
      </c>
      <c r="M1295" s="147">
        <v>285.89999999999998</v>
      </c>
      <c r="N1295" s="147">
        <v>85636</v>
      </c>
      <c r="O1295" s="147" t="s">
        <v>1325</v>
      </c>
      <c r="P1295" s="151">
        <f t="shared" si="44"/>
        <v>-1.1577474641483065E-2</v>
      </c>
    </row>
    <row r="1296" spans="2:16" ht="14.25" customHeight="1">
      <c r="B1296" s="243">
        <v>381.89091404547202</v>
      </c>
      <c r="C1296" s="243">
        <v>383.73465576963315</v>
      </c>
      <c r="D1296" s="243">
        <v>379.39477140353085</v>
      </c>
      <c r="E1296" s="243">
        <v>380.25518420813938</v>
      </c>
      <c r="F1296" s="243">
        <v>6350839.2724190718</v>
      </c>
      <c r="G1296" s="243" t="s">
        <v>1326</v>
      </c>
      <c r="H1296" s="151">
        <f t="shared" si="43"/>
        <v>4.3016634756445349E-3</v>
      </c>
      <c r="J1296" s="147">
        <v>286.48</v>
      </c>
      <c r="K1296" s="147">
        <v>292.83999999999997</v>
      </c>
      <c r="L1296" s="147">
        <v>282.88</v>
      </c>
      <c r="M1296" s="147">
        <v>285</v>
      </c>
      <c r="N1296" s="147">
        <v>229325</v>
      </c>
      <c r="O1296" s="147" t="s">
        <v>1326</v>
      </c>
      <c r="P1296" s="151">
        <f t="shared" si="44"/>
        <v>5.1929824561403048E-3</v>
      </c>
    </row>
    <row r="1297" spans="2:16" ht="14.25" customHeight="1">
      <c r="B1297" s="243">
        <v>378.24125094020957</v>
      </c>
      <c r="C1297" s="243">
        <v>381.89091404547202</v>
      </c>
      <c r="D1297" s="243">
        <v>377.67394579431379</v>
      </c>
      <c r="E1297" s="243">
        <v>380.71848341062088</v>
      </c>
      <c r="F1297" s="243">
        <v>6788012.461829179</v>
      </c>
      <c r="G1297" s="243" t="s">
        <v>1327</v>
      </c>
      <c r="H1297" s="151">
        <f t="shared" si="43"/>
        <v>-6.506730243878156E-3</v>
      </c>
      <c r="J1297" s="147">
        <v>283.25</v>
      </c>
      <c r="K1297" s="147">
        <v>284.57</v>
      </c>
      <c r="L1297" s="147">
        <v>276.26</v>
      </c>
      <c r="M1297" s="147">
        <v>279.79000000000002</v>
      </c>
      <c r="N1297" s="147">
        <v>234597</v>
      </c>
      <c r="O1297" s="147" t="s">
        <v>1327</v>
      </c>
      <c r="P1297" s="151">
        <f t="shared" si="44"/>
        <v>1.236641767039548E-2</v>
      </c>
    </row>
    <row r="1298" spans="2:16" ht="14.25" customHeight="1">
      <c r="B1298" s="243">
        <v>378.60999928504179</v>
      </c>
      <c r="C1298" s="243">
        <v>380.69957323909102</v>
      </c>
      <c r="D1298" s="243">
        <v>374.01482760328639</v>
      </c>
      <c r="E1298" s="243">
        <v>379.25294511705692</v>
      </c>
      <c r="F1298" s="243">
        <v>11573387.351587355</v>
      </c>
      <c r="G1298" s="243" t="s">
        <v>1328</v>
      </c>
      <c r="H1298" s="151">
        <f t="shared" si="43"/>
        <v>-1.6952955548352744E-3</v>
      </c>
      <c r="J1298" s="147">
        <v>277.68</v>
      </c>
      <c r="K1298" s="147">
        <v>283.89</v>
      </c>
      <c r="L1298" s="147">
        <v>274.06</v>
      </c>
      <c r="M1298" s="147">
        <v>281.95999999999998</v>
      </c>
      <c r="N1298" s="147">
        <v>159646</v>
      </c>
      <c r="O1298" s="147" t="s">
        <v>1328</v>
      </c>
      <c r="P1298" s="151">
        <f t="shared" si="44"/>
        <v>-1.5179458079160102E-2</v>
      </c>
    </row>
    <row r="1299" spans="2:16" ht="14.25" customHeight="1">
      <c r="B1299" s="243">
        <v>384.89763131871933</v>
      </c>
      <c r="C1299" s="243">
        <v>388.39601305174301</v>
      </c>
      <c r="D1299" s="243">
        <v>384.60452366000658</v>
      </c>
      <c r="E1299" s="243">
        <v>387.98944436385108</v>
      </c>
      <c r="F1299" s="243">
        <v>5707082.023534311</v>
      </c>
      <c r="G1299" s="243" t="s">
        <v>1329</v>
      </c>
      <c r="H1299" s="151">
        <f t="shared" si="43"/>
        <v>-7.9688071158767748E-3</v>
      </c>
      <c r="J1299" s="147">
        <v>284.73</v>
      </c>
      <c r="K1299" s="147">
        <v>292.83499999999998</v>
      </c>
      <c r="L1299" s="147">
        <v>281.85000000000002</v>
      </c>
      <c r="M1299" s="147">
        <v>292.08</v>
      </c>
      <c r="N1299" s="147">
        <v>306574</v>
      </c>
      <c r="O1299" s="147" t="s">
        <v>1329</v>
      </c>
      <c r="P1299" s="151">
        <f t="shared" si="44"/>
        <v>-2.5164338537386866E-2</v>
      </c>
    </row>
    <row r="1300" spans="2:16" ht="14.25" customHeight="1">
      <c r="B1300" s="243">
        <v>388.70803088198568</v>
      </c>
      <c r="C1300" s="243">
        <v>389.72918014459799</v>
      </c>
      <c r="D1300" s="243">
        <v>385.98496618168622</v>
      </c>
      <c r="E1300" s="243">
        <v>388.85931225422451</v>
      </c>
      <c r="F1300" s="243">
        <v>3544652.1410007086</v>
      </c>
      <c r="G1300" s="243" t="s">
        <v>1330</v>
      </c>
      <c r="H1300" s="151">
        <f t="shared" si="43"/>
        <v>-3.8903883093821534E-4</v>
      </c>
      <c r="J1300" s="147">
        <v>291.24</v>
      </c>
      <c r="K1300" s="147">
        <v>293.19499999999999</v>
      </c>
      <c r="L1300" s="147">
        <v>285.64</v>
      </c>
      <c r="M1300" s="147">
        <v>292.19</v>
      </c>
      <c r="N1300" s="147">
        <v>129760</v>
      </c>
      <c r="O1300" s="147" t="s">
        <v>1330</v>
      </c>
      <c r="P1300" s="151">
        <f t="shared" si="44"/>
        <v>-3.2513090797083866E-3</v>
      </c>
    </row>
    <row r="1301" spans="2:16" ht="14.25" customHeight="1">
      <c r="B1301" s="243">
        <v>389.37934197129562</v>
      </c>
      <c r="C1301" s="243">
        <v>389.79328562608418</v>
      </c>
      <c r="D1301" s="243">
        <v>385.48384663614496</v>
      </c>
      <c r="E1301" s="243">
        <v>386.51445098452223</v>
      </c>
      <c r="F1301" s="243">
        <v>4115653.8361969325</v>
      </c>
      <c r="G1301" s="243" t="s">
        <v>1331</v>
      </c>
      <c r="H1301" s="151">
        <f t="shared" si="43"/>
        <v>7.412118691748848E-3</v>
      </c>
      <c r="J1301" s="147">
        <v>288.88</v>
      </c>
      <c r="K1301" s="147">
        <v>290.99</v>
      </c>
      <c r="L1301" s="147">
        <v>282.45</v>
      </c>
      <c r="M1301" s="147">
        <v>286.8</v>
      </c>
      <c r="N1301" s="147">
        <v>206159</v>
      </c>
      <c r="O1301" s="147" t="s">
        <v>1331</v>
      </c>
      <c r="P1301" s="151">
        <f t="shared" si="44"/>
        <v>7.2524407252441137E-3</v>
      </c>
    </row>
    <row r="1302" spans="2:16" ht="14.25" customHeight="1">
      <c r="B1302" s="243">
        <v>386.1551577254549</v>
      </c>
      <c r="C1302" s="243">
        <v>389.71972505883303</v>
      </c>
      <c r="D1302" s="243">
        <v>385.28528983508147</v>
      </c>
      <c r="E1302" s="243">
        <v>389.56844368659415</v>
      </c>
      <c r="F1302" s="243">
        <v>3868465.1741258577</v>
      </c>
      <c r="G1302" s="243" t="s">
        <v>1332</v>
      </c>
      <c r="H1302" s="151">
        <f t="shared" si="43"/>
        <v>-8.7617105965729358E-3</v>
      </c>
      <c r="J1302" s="147">
        <v>287.77999999999997</v>
      </c>
      <c r="K1302" s="147">
        <v>289.14</v>
      </c>
      <c r="L1302" s="147">
        <v>277.7</v>
      </c>
      <c r="M1302" s="147">
        <v>281.08</v>
      </c>
      <c r="N1302" s="147">
        <v>183232</v>
      </c>
      <c r="O1302" s="147" t="s">
        <v>1332</v>
      </c>
      <c r="P1302" s="151">
        <f t="shared" si="44"/>
        <v>2.3836630140885218E-2</v>
      </c>
    </row>
    <row r="1303" spans="2:16" ht="14.25" customHeight="1">
      <c r="B1303" s="243">
        <v>388.16909099338477</v>
      </c>
      <c r="C1303" s="243">
        <v>390.22084460437424</v>
      </c>
      <c r="D1303" s="243">
        <v>386.06060686780563</v>
      </c>
      <c r="E1303" s="243">
        <v>390.0411979748406</v>
      </c>
      <c r="F1303" s="243">
        <v>5011419.3755657682</v>
      </c>
      <c r="G1303" s="243" t="s">
        <v>1333</v>
      </c>
      <c r="H1303" s="151">
        <f t="shared" si="43"/>
        <v>-4.7997672840103256E-3</v>
      </c>
      <c r="J1303" s="147">
        <v>279.31</v>
      </c>
      <c r="K1303" s="147">
        <v>284.45</v>
      </c>
      <c r="L1303" s="147">
        <v>275.72000000000003</v>
      </c>
      <c r="M1303" s="147">
        <v>283.20999999999998</v>
      </c>
      <c r="N1303" s="147">
        <v>266303</v>
      </c>
      <c r="O1303" s="147" t="s">
        <v>1333</v>
      </c>
      <c r="P1303" s="151">
        <f t="shared" si="44"/>
        <v>-1.3770700187140217E-2</v>
      </c>
    </row>
    <row r="1304" spans="2:16" ht="14.25" customHeight="1">
      <c r="B1304" s="243">
        <v>387.26140275995152</v>
      </c>
      <c r="C1304" s="243">
        <v>392.48061010219226</v>
      </c>
      <c r="D1304" s="243">
        <v>387.10539384483025</v>
      </c>
      <c r="E1304" s="243">
        <v>392.09295158583018</v>
      </c>
      <c r="F1304" s="243">
        <v>4268082.9136089934</v>
      </c>
      <c r="G1304" s="243" t="s">
        <v>1334</v>
      </c>
      <c r="H1304" s="151">
        <f t="shared" si="43"/>
        <v>-1.2322457739516457E-2</v>
      </c>
      <c r="J1304" s="147">
        <v>282.23</v>
      </c>
      <c r="K1304" s="147">
        <v>283.86</v>
      </c>
      <c r="L1304" s="147">
        <v>271.89999999999998</v>
      </c>
      <c r="M1304" s="147">
        <v>273.87</v>
      </c>
      <c r="N1304" s="147">
        <v>215844</v>
      </c>
      <c r="O1304" s="147" t="s">
        <v>1334</v>
      </c>
      <c r="P1304" s="151">
        <f t="shared" si="44"/>
        <v>3.0525431774199419E-2</v>
      </c>
    </row>
    <row r="1305" spans="2:16" ht="14.25" customHeight="1">
      <c r="B1305" s="243">
        <v>390.2775751189638</v>
      </c>
      <c r="C1305" s="243">
        <v>393.39775342139029</v>
      </c>
      <c r="D1305" s="243">
        <v>390.08847340366526</v>
      </c>
      <c r="E1305" s="243">
        <v>391.7620235840576</v>
      </c>
      <c r="F1305" s="243">
        <v>4111891.8396498533</v>
      </c>
      <c r="G1305" s="243" t="s">
        <v>1335</v>
      </c>
      <c r="H1305" s="151">
        <f t="shared" si="43"/>
        <v>-3.7891586619683837E-3</v>
      </c>
      <c r="J1305" s="147">
        <v>271.48</v>
      </c>
      <c r="K1305" s="147">
        <v>275.51499999999999</v>
      </c>
      <c r="L1305" s="147">
        <v>271.04000000000002</v>
      </c>
      <c r="M1305" s="147">
        <v>271.99</v>
      </c>
      <c r="N1305" s="147">
        <v>193029</v>
      </c>
      <c r="O1305" s="147" t="s">
        <v>1335</v>
      </c>
      <c r="P1305" s="151">
        <f t="shared" si="44"/>
        <v>-1.8750689363579154E-3</v>
      </c>
    </row>
    <row r="1306" spans="2:16" ht="14.25" customHeight="1">
      <c r="B1306" s="243">
        <v>392.03622107124056</v>
      </c>
      <c r="C1306" s="243">
        <v>392.63189147443109</v>
      </c>
      <c r="D1306" s="243">
        <v>390.18595533790165</v>
      </c>
      <c r="E1306" s="243">
        <v>391.94167021359129</v>
      </c>
      <c r="F1306" s="243">
        <v>4243857.8557200842</v>
      </c>
      <c r="G1306" s="243" t="s">
        <v>1336</v>
      </c>
      <c r="H1306" s="151">
        <f t="shared" si="43"/>
        <v>2.4123706366241393E-4</v>
      </c>
      <c r="J1306" s="147">
        <v>271.92</v>
      </c>
      <c r="K1306" s="147">
        <v>274.69600000000003</v>
      </c>
      <c r="L1306" s="147">
        <v>270.31</v>
      </c>
      <c r="M1306" s="147">
        <v>271.83999999999997</v>
      </c>
      <c r="N1306" s="147">
        <v>235859</v>
      </c>
      <c r="O1306" s="147" t="s">
        <v>1336</v>
      </c>
      <c r="P1306" s="151">
        <f t="shared" si="44"/>
        <v>2.9429075927023263E-4</v>
      </c>
    </row>
    <row r="1307" spans="2:16" ht="14.25" customHeight="1">
      <c r="B1307" s="243">
        <v>392.41442450183769</v>
      </c>
      <c r="C1307" s="243">
        <v>393.60576530821879</v>
      </c>
      <c r="D1307" s="243">
        <v>391.83766427017707</v>
      </c>
      <c r="E1307" s="243">
        <v>393.58685513668888</v>
      </c>
      <c r="F1307" s="243">
        <v>3746651.3663365976</v>
      </c>
      <c r="G1307" s="243" t="s">
        <v>1337</v>
      </c>
      <c r="H1307" s="151">
        <f t="shared" si="43"/>
        <v>-2.9788358517309765E-3</v>
      </c>
      <c r="J1307" s="147">
        <v>270.17</v>
      </c>
      <c r="K1307" s="147">
        <v>277</v>
      </c>
      <c r="L1307" s="147">
        <v>268.13010000000003</v>
      </c>
      <c r="M1307" s="147">
        <v>277</v>
      </c>
      <c r="N1307" s="147">
        <v>134053</v>
      </c>
      <c r="O1307" s="147" t="s">
        <v>1337</v>
      </c>
      <c r="P1307" s="151">
        <f t="shared" si="44"/>
        <v>-2.4657039711191264E-2</v>
      </c>
    </row>
    <row r="1308" spans="2:16" ht="14.25" customHeight="1">
      <c r="B1308" s="243">
        <v>393.87050770963674</v>
      </c>
      <c r="C1308" s="243">
        <v>394.33314505611474</v>
      </c>
      <c r="D1308" s="243">
        <v>392.53734061678182</v>
      </c>
      <c r="E1308" s="243">
        <v>392.9344542189088</v>
      </c>
      <c r="F1308" s="243">
        <v>3959772.6483745067</v>
      </c>
      <c r="G1308" s="243" t="s">
        <v>1338</v>
      </c>
      <c r="H1308" s="151">
        <f t="shared" si="43"/>
        <v>2.3822128110111418E-3</v>
      </c>
      <c r="J1308" s="147">
        <v>277.5</v>
      </c>
      <c r="K1308" s="147">
        <v>278.55</v>
      </c>
      <c r="L1308" s="147">
        <v>274.69</v>
      </c>
      <c r="M1308" s="147">
        <v>276.93</v>
      </c>
      <c r="N1308" s="147">
        <v>197964</v>
      </c>
      <c r="O1308" s="147" t="s">
        <v>1338</v>
      </c>
      <c r="P1308" s="151">
        <f t="shared" si="44"/>
        <v>2.0582818762864274E-3</v>
      </c>
    </row>
    <row r="1309" spans="2:16" ht="14.25" customHeight="1">
      <c r="B1309" s="243">
        <v>394.02178908187562</v>
      </c>
      <c r="C1309" s="243">
        <v>394.69310017118556</v>
      </c>
      <c r="D1309" s="243">
        <v>392.85408598990693</v>
      </c>
      <c r="E1309" s="243">
        <v>394.08797468223014</v>
      </c>
      <c r="F1309" s="243">
        <v>3000420.1659627985</v>
      </c>
      <c r="G1309" s="243" t="s">
        <v>1339</v>
      </c>
      <c r="H1309" s="151">
        <f t="shared" si="43"/>
        <v>-1.6794625719773748E-4</v>
      </c>
      <c r="J1309" s="147">
        <v>277.66000000000003</v>
      </c>
      <c r="K1309" s="147">
        <v>280.69</v>
      </c>
      <c r="L1309" s="147">
        <v>270.72000000000003</v>
      </c>
      <c r="M1309" s="147">
        <v>272</v>
      </c>
      <c r="N1309" s="147">
        <v>127731</v>
      </c>
      <c r="O1309" s="147" t="s">
        <v>1339</v>
      </c>
      <c r="P1309" s="151">
        <f t="shared" si="44"/>
        <v>2.0808823529411935E-2</v>
      </c>
    </row>
    <row r="1310" spans="2:16" ht="14.25" customHeight="1">
      <c r="B1310" s="243">
        <v>392.84935844702449</v>
      </c>
      <c r="C1310" s="243">
        <v>393.88941788116659</v>
      </c>
      <c r="D1310" s="243">
        <v>392.53734061678182</v>
      </c>
      <c r="E1310" s="243">
        <v>393.37884324986049</v>
      </c>
      <c r="F1310" s="243">
        <v>3444040.6792275566</v>
      </c>
      <c r="G1310" s="243" t="s">
        <v>1340</v>
      </c>
      <c r="H1310" s="151">
        <f t="shared" si="43"/>
        <v>-1.345992068261026E-3</v>
      </c>
      <c r="J1310" s="147">
        <v>271.99</v>
      </c>
      <c r="K1310" s="147">
        <v>277.84710000000001</v>
      </c>
      <c r="L1310" s="147">
        <v>269.45</v>
      </c>
      <c r="M1310" s="147">
        <v>274.74</v>
      </c>
      <c r="N1310" s="147">
        <v>301679</v>
      </c>
      <c r="O1310" s="147" t="s">
        <v>1340</v>
      </c>
      <c r="P1310" s="151">
        <f t="shared" si="44"/>
        <v>-1.0009463492756776E-2</v>
      </c>
    </row>
    <row r="1311" spans="2:16" ht="14.25" customHeight="1">
      <c r="B1311" s="243">
        <v>392.4333346733676</v>
      </c>
      <c r="C1311" s="243">
        <v>393.35047799256569</v>
      </c>
      <c r="D1311" s="243">
        <v>391.9889456424159</v>
      </c>
      <c r="E1311" s="243">
        <v>393.01009490502827</v>
      </c>
      <c r="F1311" s="243">
        <v>6412333.161999288</v>
      </c>
      <c r="G1311" s="243" t="s">
        <v>1341</v>
      </c>
      <c r="H1311" s="151">
        <f t="shared" si="43"/>
        <v>-1.4675455901458356E-3</v>
      </c>
      <c r="J1311" s="147">
        <v>274.95</v>
      </c>
      <c r="K1311" s="147">
        <v>277.41500000000002</v>
      </c>
      <c r="L1311" s="147">
        <v>268.13</v>
      </c>
      <c r="M1311" s="147">
        <v>271.20999999999998</v>
      </c>
      <c r="N1311" s="147">
        <v>162948</v>
      </c>
      <c r="O1311" s="147" t="s">
        <v>1341</v>
      </c>
      <c r="P1311" s="151">
        <f t="shared" si="44"/>
        <v>1.3790051989233554E-2</v>
      </c>
    </row>
    <row r="1312" spans="2:16" ht="14.25" customHeight="1">
      <c r="B1312" s="243">
        <v>393.10464576267754</v>
      </c>
      <c r="C1312" s="243">
        <v>393.86105262387184</v>
      </c>
      <c r="D1312" s="243">
        <v>391.80929901288226</v>
      </c>
      <c r="E1312" s="243">
        <v>392.06458632853537</v>
      </c>
      <c r="F1312" s="243">
        <v>2973833.4161172886</v>
      </c>
      <c r="G1312" s="243" t="s">
        <v>1342</v>
      </c>
      <c r="H1312" s="151">
        <f t="shared" si="43"/>
        <v>2.6527757680991915E-3</v>
      </c>
      <c r="J1312" s="147">
        <v>270.52999999999997</v>
      </c>
      <c r="K1312" s="147">
        <v>275.85000000000002</v>
      </c>
      <c r="L1312" s="147">
        <v>270.43</v>
      </c>
      <c r="M1312" s="147">
        <v>273.12</v>
      </c>
      <c r="N1312" s="147">
        <v>167865</v>
      </c>
      <c r="O1312" s="147" t="s">
        <v>1342</v>
      </c>
      <c r="P1312" s="151">
        <f t="shared" si="44"/>
        <v>-9.4830111306386522E-3</v>
      </c>
    </row>
    <row r="1313" spans="2:16" ht="14.25" customHeight="1">
      <c r="B1313" s="243">
        <v>391.30817946734106</v>
      </c>
      <c r="C1313" s="243">
        <v>391.7525684982927</v>
      </c>
      <c r="D1313" s="243">
        <v>388.62293511010131</v>
      </c>
      <c r="E1313" s="243">
        <v>388.68912071045577</v>
      </c>
      <c r="F1313" s="243">
        <v>4105938.4298765869</v>
      </c>
      <c r="G1313" s="243" t="s">
        <v>1343</v>
      </c>
      <c r="H1313" s="151">
        <f t="shared" si="43"/>
        <v>6.7381838526843207E-3</v>
      </c>
      <c r="J1313" s="147">
        <v>271.81</v>
      </c>
      <c r="K1313" s="147">
        <v>275.95</v>
      </c>
      <c r="L1313" s="147">
        <v>270.2</v>
      </c>
      <c r="M1313" s="147">
        <v>270.2</v>
      </c>
      <c r="N1313" s="147">
        <v>127941</v>
      </c>
      <c r="O1313" s="147" t="s">
        <v>1343</v>
      </c>
      <c r="P1313" s="151">
        <f t="shared" si="44"/>
        <v>5.9585492227980374E-3</v>
      </c>
    </row>
    <row r="1314" spans="2:16" ht="14.25" customHeight="1">
      <c r="B1314" s="243">
        <v>387.866528248907</v>
      </c>
      <c r="C1314" s="243">
        <v>390.17356917554963</v>
      </c>
      <c r="D1314" s="243">
        <v>387.84761807737715</v>
      </c>
      <c r="E1314" s="243">
        <v>389.93719203142643</v>
      </c>
      <c r="F1314" s="243">
        <v>4978866.5243646009</v>
      </c>
      <c r="G1314" s="243" t="s">
        <v>1344</v>
      </c>
      <c r="H1314" s="151">
        <f t="shared" si="43"/>
        <v>-5.3102495089838442E-3</v>
      </c>
      <c r="J1314" s="147">
        <v>269.38</v>
      </c>
      <c r="K1314" s="147">
        <v>272.27499999999998</v>
      </c>
      <c r="L1314" s="147">
        <v>268.10000000000002</v>
      </c>
      <c r="M1314" s="147">
        <v>269.02999999999997</v>
      </c>
      <c r="N1314" s="147">
        <v>71291</v>
      </c>
      <c r="O1314" s="147" t="s">
        <v>1344</v>
      </c>
      <c r="P1314" s="151">
        <f t="shared" si="44"/>
        <v>1.3009701520276806E-3</v>
      </c>
    </row>
    <row r="1315" spans="2:16" ht="14.25" customHeight="1">
      <c r="B1315" s="243">
        <v>390.14520391825482</v>
      </c>
      <c r="C1315" s="243">
        <v>390.69359889262068</v>
      </c>
      <c r="D1315" s="243">
        <v>389.23751568482169</v>
      </c>
      <c r="E1315" s="243">
        <v>389.60626402965391</v>
      </c>
      <c r="F1315" s="243">
        <v>3449373.2590955277</v>
      </c>
      <c r="G1315" s="243" t="s">
        <v>1345</v>
      </c>
      <c r="H1315" s="151">
        <f t="shared" si="43"/>
        <v>1.3832936950928243E-3</v>
      </c>
      <c r="J1315" s="147">
        <v>269.38</v>
      </c>
      <c r="K1315" s="147">
        <v>279.20999999999998</v>
      </c>
      <c r="L1315" s="147">
        <v>268.86</v>
      </c>
      <c r="M1315" s="147">
        <v>275.82</v>
      </c>
      <c r="N1315" s="147">
        <v>132196</v>
      </c>
      <c r="O1315" s="147" t="s">
        <v>1345</v>
      </c>
      <c r="P1315" s="151">
        <f t="shared" si="44"/>
        <v>-2.334856065549995E-2</v>
      </c>
    </row>
    <row r="1316" spans="2:16" ht="14.25" customHeight="1">
      <c r="B1316" s="243">
        <v>389.42661740012028</v>
      </c>
      <c r="C1316" s="243">
        <v>389.88991660260177</v>
      </c>
      <c r="D1316" s="243">
        <v>388.93495294034398</v>
      </c>
      <c r="E1316" s="243">
        <v>389.45498265741503</v>
      </c>
      <c r="F1316" s="243">
        <v>3179756.4556757431</v>
      </c>
      <c r="G1316" s="243" t="s">
        <v>1346</v>
      </c>
      <c r="H1316" s="151">
        <f t="shared" si="43"/>
        <v>-7.2833211944511866E-5</v>
      </c>
      <c r="J1316" s="147">
        <v>275.77</v>
      </c>
      <c r="K1316" s="147">
        <v>276</v>
      </c>
      <c r="L1316" s="147">
        <v>264.94</v>
      </c>
      <c r="M1316" s="147">
        <v>265</v>
      </c>
      <c r="N1316" s="147">
        <v>157657</v>
      </c>
      <c r="O1316" s="147" t="s">
        <v>1346</v>
      </c>
      <c r="P1316" s="151">
        <f t="shared" si="44"/>
        <v>4.0641509433962275E-2</v>
      </c>
    </row>
    <row r="1317" spans="2:16" ht="14.25" customHeight="1">
      <c r="B1317" s="243">
        <v>388.8120368253999</v>
      </c>
      <c r="C1317" s="243">
        <v>389.62517420118371</v>
      </c>
      <c r="D1317" s="243">
        <v>386.93047475817906</v>
      </c>
      <c r="E1317" s="243">
        <v>386.94938492970891</v>
      </c>
      <c r="F1317" s="243">
        <v>3447243.188517564</v>
      </c>
      <c r="G1317" s="243" t="s">
        <v>1347</v>
      </c>
      <c r="H1317" s="151">
        <f t="shared" si="43"/>
        <v>4.8136835675016698E-3</v>
      </c>
      <c r="J1317" s="147">
        <v>264.43</v>
      </c>
      <c r="K1317" s="147">
        <v>269.89</v>
      </c>
      <c r="L1317" s="147">
        <v>259.74</v>
      </c>
      <c r="M1317" s="147">
        <v>261.89999999999998</v>
      </c>
      <c r="N1317" s="147">
        <v>351420</v>
      </c>
      <c r="O1317" s="147" t="s">
        <v>1347</v>
      </c>
      <c r="P1317" s="151">
        <f t="shared" si="44"/>
        <v>9.6601756395571226E-3</v>
      </c>
    </row>
    <row r="1318" spans="2:16" ht="14.25" customHeight="1">
      <c r="B1318" s="243">
        <v>385.39875086426059</v>
      </c>
      <c r="C1318" s="243">
        <v>385.6918585229734</v>
      </c>
      <c r="D1318" s="243">
        <v>382.23129713300943</v>
      </c>
      <c r="E1318" s="243">
        <v>382.62841073513647</v>
      </c>
      <c r="F1318" s="243">
        <v>3451656.6862940504</v>
      </c>
      <c r="G1318" s="243" t="s">
        <v>1348</v>
      </c>
      <c r="H1318" s="151">
        <f t="shared" si="43"/>
        <v>7.2402886231095476E-3</v>
      </c>
      <c r="J1318" s="147">
        <v>261.3</v>
      </c>
      <c r="K1318" s="147">
        <v>262.64</v>
      </c>
      <c r="L1318" s="147">
        <v>254.09</v>
      </c>
      <c r="M1318" s="147">
        <v>255.27</v>
      </c>
      <c r="N1318" s="147">
        <v>122309</v>
      </c>
      <c r="O1318" s="147" t="s">
        <v>1348</v>
      </c>
      <c r="P1318" s="151">
        <f t="shared" si="44"/>
        <v>2.3622047244094446E-2</v>
      </c>
    </row>
    <row r="1319" spans="2:16" ht="14.25" customHeight="1">
      <c r="B1319" s="243">
        <v>382.37312341948342</v>
      </c>
      <c r="C1319" s="243">
        <v>383.45100319668529</v>
      </c>
      <c r="D1319" s="243">
        <v>379.08369908186467</v>
      </c>
      <c r="E1319" s="243">
        <v>379.23403494552701</v>
      </c>
      <c r="F1319" s="243">
        <v>5823021.7439402482</v>
      </c>
      <c r="G1319" s="243" t="s">
        <v>1349</v>
      </c>
      <c r="H1319" s="151">
        <f t="shared" si="43"/>
        <v>8.2774439651949194E-3</v>
      </c>
      <c r="J1319" s="147">
        <v>255.26</v>
      </c>
      <c r="K1319" s="147">
        <v>256.5</v>
      </c>
      <c r="L1319" s="147">
        <v>253.48</v>
      </c>
      <c r="M1319" s="147">
        <v>255.48</v>
      </c>
      <c r="N1319" s="147">
        <v>74651</v>
      </c>
      <c r="O1319" s="147" t="s">
        <v>1349</v>
      </c>
      <c r="P1319" s="151">
        <f t="shared" si="44"/>
        <v>-8.6112415844685763E-4</v>
      </c>
    </row>
    <row r="1320" spans="2:16" ht="14.25" customHeight="1">
      <c r="B1320" s="243">
        <v>381.83418353088246</v>
      </c>
      <c r="C1320" s="243">
        <v>386.47663064146246</v>
      </c>
      <c r="D1320" s="243">
        <v>381.5505309579346</v>
      </c>
      <c r="E1320" s="243">
        <v>385.03000251942842</v>
      </c>
      <c r="F1320" s="243">
        <v>5159421.2059870865</v>
      </c>
      <c r="G1320" s="243" t="s">
        <v>1350</v>
      </c>
      <c r="H1320" s="151">
        <f t="shared" si="43"/>
        <v>-8.3001817199549466E-3</v>
      </c>
      <c r="J1320" s="147">
        <v>254.42</v>
      </c>
      <c r="K1320" s="147">
        <v>256.64999999999998</v>
      </c>
      <c r="L1320" s="147">
        <v>251.52</v>
      </c>
      <c r="M1320" s="147">
        <v>254.53</v>
      </c>
      <c r="N1320" s="147">
        <v>84563</v>
      </c>
      <c r="O1320" s="147" t="s">
        <v>1350</v>
      </c>
      <c r="P1320" s="151">
        <f t="shared" si="44"/>
        <v>-4.3216909598087216E-4</v>
      </c>
    </row>
    <row r="1321" spans="2:16" ht="14.25" customHeight="1">
      <c r="B1321" s="243">
        <v>385.98496618168622</v>
      </c>
      <c r="C1321" s="243">
        <v>386.76028321441038</v>
      </c>
      <c r="D1321" s="243">
        <v>383.22408113832699</v>
      </c>
      <c r="E1321" s="243">
        <v>386.1551577254549</v>
      </c>
      <c r="F1321" s="243">
        <v>5485144.3222620878</v>
      </c>
      <c r="G1321" s="243" t="s">
        <v>1351</v>
      </c>
      <c r="H1321" s="151">
        <f t="shared" si="43"/>
        <v>-4.4073357655283196E-4</v>
      </c>
      <c r="J1321" s="147">
        <v>254.23</v>
      </c>
      <c r="K1321" s="147">
        <v>254.88900000000001</v>
      </c>
      <c r="L1321" s="147">
        <v>247.75</v>
      </c>
      <c r="M1321" s="147">
        <v>250.91</v>
      </c>
      <c r="N1321" s="147">
        <v>136789</v>
      </c>
      <c r="O1321" s="147" t="s">
        <v>1351</v>
      </c>
      <c r="P1321" s="151">
        <f t="shared" si="44"/>
        <v>1.3231836116535778E-2</v>
      </c>
    </row>
    <row r="1322" spans="2:16" ht="14.25" customHeight="1">
      <c r="B1322" s="243">
        <v>388.5472944239819</v>
      </c>
      <c r="C1322" s="243">
        <v>388.61348002433635</v>
      </c>
      <c r="D1322" s="243">
        <v>384.96381691907385</v>
      </c>
      <c r="E1322" s="243">
        <v>386.43881029840276</v>
      </c>
      <c r="F1322" s="243">
        <v>3580250.971975727</v>
      </c>
      <c r="G1322" s="243" t="s">
        <v>1352</v>
      </c>
      <c r="H1322" s="151">
        <f t="shared" si="43"/>
        <v>5.4561914315773841E-3</v>
      </c>
      <c r="J1322" s="147">
        <v>252.83</v>
      </c>
      <c r="K1322" s="147">
        <v>256.33</v>
      </c>
      <c r="L1322" s="147">
        <v>249.69</v>
      </c>
      <c r="M1322" s="147">
        <v>255.6</v>
      </c>
      <c r="N1322" s="147">
        <v>132197</v>
      </c>
      <c r="O1322" s="147" t="s">
        <v>1352</v>
      </c>
      <c r="P1322" s="151">
        <f t="shared" si="44"/>
        <v>-1.0837245696400544E-2</v>
      </c>
    </row>
    <row r="1323" spans="2:16" ht="14.25" customHeight="1">
      <c r="B1323" s="243">
        <v>387.62069601901885</v>
      </c>
      <c r="C1323" s="243">
        <v>387.62069601901885</v>
      </c>
      <c r="D1323" s="243">
        <v>386.8831993293544</v>
      </c>
      <c r="E1323" s="243">
        <v>387.31813327454114</v>
      </c>
      <c r="F1323" s="243">
        <v>2383674.8349336465</v>
      </c>
      <c r="G1323" s="243" t="s">
        <v>1353</v>
      </c>
      <c r="H1323" s="151">
        <f t="shared" si="43"/>
        <v>7.8117371350461262E-4</v>
      </c>
      <c r="J1323" s="147">
        <v>257.66000000000003</v>
      </c>
      <c r="K1323" s="147">
        <v>262.36</v>
      </c>
      <c r="L1323" s="147">
        <v>257.08999999999997</v>
      </c>
      <c r="M1323" s="147">
        <v>260.14</v>
      </c>
      <c r="N1323" s="147">
        <v>102902</v>
      </c>
      <c r="O1323" s="147" t="s">
        <v>1353</v>
      </c>
      <c r="P1323" s="151">
        <f t="shared" si="44"/>
        <v>-9.5333282078878812E-3</v>
      </c>
    </row>
    <row r="1324" spans="2:16" ht="14.25" customHeight="1">
      <c r="B1324" s="243">
        <v>386.85483407205959</v>
      </c>
      <c r="C1324" s="243">
        <v>387.02502561582833</v>
      </c>
      <c r="D1324" s="243">
        <v>384.79362537530517</v>
      </c>
      <c r="E1324" s="243">
        <v>385.59730766532408</v>
      </c>
      <c r="F1324" s="243">
        <v>2454185.0361708351</v>
      </c>
      <c r="G1324" s="243" t="s">
        <v>1354</v>
      </c>
      <c r="H1324" s="151">
        <f t="shared" si="43"/>
        <v>3.2612427051148529E-3</v>
      </c>
      <c r="J1324" s="147">
        <v>261.83</v>
      </c>
      <c r="K1324" s="147">
        <v>262.62</v>
      </c>
      <c r="L1324" s="147">
        <v>252.76009999999999</v>
      </c>
      <c r="M1324" s="147">
        <v>253.92</v>
      </c>
      <c r="N1324" s="147">
        <v>133470</v>
      </c>
      <c r="O1324" s="147" t="s">
        <v>1354</v>
      </c>
      <c r="P1324" s="151">
        <f t="shared" si="44"/>
        <v>3.1151543793320746E-2</v>
      </c>
    </row>
    <row r="1325" spans="2:16" ht="14.25" customHeight="1">
      <c r="B1325" s="243">
        <v>385.72967886603311</v>
      </c>
      <c r="C1325" s="243">
        <v>385.83368480944733</v>
      </c>
      <c r="D1325" s="243">
        <v>384.73689486071561</v>
      </c>
      <c r="E1325" s="243">
        <v>385.76749920909282</v>
      </c>
      <c r="F1325" s="243">
        <v>3759278.4331838228</v>
      </c>
      <c r="G1325" s="243" t="s">
        <v>1355</v>
      </c>
      <c r="H1325" s="151">
        <f t="shared" si="43"/>
        <v>-9.8039215686296366E-5</v>
      </c>
      <c r="J1325" s="147">
        <v>255.96</v>
      </c>
      <c r="K1325" s="147">
        <v>260.13</v>
      </c>
      <c r="L1325" s="147">
        <v>243.79</v>
      </c>
      <c r="M1325" s="147">
        <v>257.27999999999997</v>
      </c>
      <c r="N1325" s="147">
        <v>325082</v>
      </c>
      <c r="O1325" s="147" t="s">
        <v>1355</v>
      </c>
      <c r="P1325" s="151">
        <f t="shared" si="44"/>
        <v>-5.1305970149252422E-3</v>
      </c>
    </row>
    <row r="1326" spans="2:16" ht="14.25" customHeight="1">
      <c r="B1326" s="243">
        <v>384.80308046107012</v>
      </c>
      <c r="C1326" s="243">
        <v>385.45548137885021</v>
      </c>
      <c r="D1326" s="243">
        <v>384.09394902870048</v>
      </c>
      <c r="E1326" s="243">
        <v>384.73689486071561</v>
      </c>
      <c r="F1326" s="243">
        <v>2539088.5494713355</v>
      </c>
      <c r="G1326" s="243" t="s">
        <v>1356</v>
      </c>
      <c r="H1326" s="151">
        <f t="shared" si="43"/>
        <v>1.7202821262696233E-4</v>
      </c>
      <c r="J1326" s="147">
        <v>258.39</v>
      </c>
      <c r="K1326" s="147">
        <v>284.99</v>
      </c>
      <c r="L1326" s="147">
        <v>257.97000000000003</v>
      </c>
      <c r="M1326" s="147">
        <v>272</v>
      </c>
      <c r="N1326" s="147">
        <v>587266</v>
      </c>
      <c r="O1326" s="147" t="s">
        <v>1356</v>
      </c>
      <c r="P1326" s="151">
        <f t="shared" si="44"/>
        <v>-5.0036764705882364E-2</v>
      </c>
    </row>
    <row r="1327" spans="2:16" ht="14.25" customHeight="1">
      <c r="B1327" s="243">
        <v>384.32087108705878</v>
      </c>
      <c r="C1327" s="243">
        <v>384.86850965456341</v>
      </c>
      <c r="D1327" s="243">
        <v>383.58337439739427</v>
      </c>
      <c r="E1327" s="243">
        <v>384.58561348847672</v>
      </c>
      <c r="F1327" s="243">
        <v>2098747.7526227967</v>
      </c>
      <c r="G1327" s="243" t="s">
        <v>1357</v>
      </c>
      <c r="H1327" s="151">
        <f t="shared" si="43"/>
        <v>-6.8838352796540825E-4</v>
      </c>
      <c r="J1327" s="147">
        <v>263.64999999999998</v>
      </c>
      <c r="K1327" s="147">
        <v>265.62</v>
      </c>
      <c r="L1327" s="147">
        <v>257.91000000000003</v>
      </c>
      <c r="M1327" s="147">
        <v>265.33999999999997</v>
      </c>
      <c r="N1327" s="147">
        <v>227170</v>
      </c>
      <c r="O1327" s="147" t="s">
        <v>1357</v>
      </c>
      <c r="P1327" s="151">
        <f t="shared" si="44"/>
        <v>-6.3691867038516703E-3</v>
      </c>
    </row>
    <row r="1328" spans="2:16" ht="14.25" customHeight="1">
      <c r="B1328" s="243">
        <v>384.68961943189095</v>
      </c>
      <c r="C1328" s="243">
        <v>384.99218217636866</v>
      </c>
      <c r="D1328" s="243">
        <v>384.03721851411086</v>
      </c>
      <c r="E1328" s="243">
        <v>384.29250582976391</v>
      </c>
      <c r="F1328" s="243">
        <v>2630249.0128906216</v>
      </c>
      <c r="G1328" s="243" t="s">
        <v>1358</v>
      </c>
      <c r="H1328" s="151">
        <f t="shared" si="43"/>
        <v>1.0333628579863863E-3</v>
      </c>
      <c r="J1328" s="147">
        <v>263.94</v>
      </c>
      <c r="K1328" s="147">
        <v>270.54000000000002</v>
      </c>
      <c r="L1328" s="147">
        <v>260.27999999999997</v>
      </c>
      <c r="M1328" s="147">
        <v>270.54000000000002</v>
      </c>
      <c r="N1328" s="147">
        <v>106964</v>
      </c>
      <c r="O1328" s="147" t="s">
        <v>1358</v>
      </c>
      <c r="P1328" s="151">
        <f t="shared" si="44"/>
        <v>-2.4395653138168161E-2</v>
      </c>
    </row>
    <row r="1329" spans="2:16" ht="14.25" customHeight="1">
      <c r="B1329" s="243">
        <v>384.02776342834596</v>
      </c>
      <c r="C1329" s="243">
        <v>384.05612868564072</v>
      </c>
      <c r="D1329" s="243">
        <v>382.34475816218861</v>
      </c>
      <c r="E1329" s="243">
        <v>382.64732090666632</v>
      </c>
      <c r="F1329" s="243">
        <v>3228766.0587106333</v>
      </c>
      <c r="G1329" s="243" t="s">
        <v>1359</v>
      </c>
      <c r="H1329" s="151">
        <f t="shared" si="43"/>
        <v>3.6076105757352206E-3</v>
      </c>
      <c r="J1329" s="147">
        <v>270.14999999999998</v>
      </c>
      <c r="K1329" s="147">
        <v>271.22500000000002</v>
      </c>
      <c r="L1329" s="147">
        <v>260.13</v>
      </c>
      <c r="M1329" s="147">
        <v>262.8</v>
      </c>
      <c r="N1329" s="147">
        <v>126694</v>
      </c>
      <c r="O1329" s="147" t="s">
        <v>1359</v>
      </c>
      <c r="P1329" s="151">
        <f t="shared" si="44"/>
        <v>2.7968036529680163E-2</v>
      </c>
    </row>
    <row r="1330" spans="2:16" ht="14.25" customHeight="1">
      <c r="B1330" s="243">
        <v>381.64508181558386</v>
      </c>
      <c r="C1330" s="243">
        <v>382.79860227890521</v>
      </c>
      <c r="D1330" s="243">
        <v>381.36142924263601</v>
      </c>
      <c r="E1330" s="243">
        <v>382.2785725618341</v>
      </c>
      <c r="F1330" s="243">
        <v>4103840.0882546003</v>
      </c>
      <c r="G1330" s="243" t="s">
        <v>1360</v>
      </c>
      <c r="H1330" s="151">
        <f t="shared" si="43"/>
        <v>-1.6571442704855777E-3</v>
      </c>
      <c r="J1330" s="147">
        <v>262.88</v>
      </c>
      <c r="K1330" s="147">
        <v>268.54000000000002</v>
      </c>
      <c r="L1330" s="147">
        <v>261.61</v>
      </c>
      <c r="M1330" s="147">
        <v>261.61</v>
      </c>
      <c r="N1330" s="147">
        <v>149937</v>
      </c>
      <c r="O1330" s="147" t="s">
        <v>1360</v>
      </c>
      <c r="P1330" s="151">
        <f t="shared" si="44"/>
        <v>4.8545544895071124E-3</v>
      </c>
    </row>
    <row r="1331" spans="2:16" ht="14.25" customHeight="1">
      <c r="B1331" s="243">
        <v>383.47936845398004</v>
      </c>
      <c r="C1331" s="243">
        <v>383.55500914009951</v>
      </c>
      <c r="D1331" s="243">
        <v>379.07329848752329</v>
      </c>
      <c r="E1331" s="243">
        <v>381.11559701274786</v>
      </c>
      <c r="F1331" s="243">
        <v>4367626.1671975655</v>
      </c>
      <c r="G1331" s="243" t="s">
        <v>1361</v>
      </c>
      <c r="H1331" s="151">
        <f t="shared" si="43"/>
        <v>6.2022427309715855E-3</v>
      </c>
      <c r="J1331" s="147">
        <v>262.17</v>
      </c>
      <c r="K1331" s="147">
        <v>266.04000000000002</v>
      </c>
      <c r="L1331" s="147">
        <v>260.68</v>
      </c>
      <c r="M1331" s="147">
        <v>265.47000000000003</v>
      </c>
      <c r="N1331" s="147">
        <v>174386</v>
      </c>
      <c r="O1331" s="147" t="s">
        <v>1361</v>
      </c>
      <c r="P1331" s="151">
        <f t="shared" si="44"/>
        <v>-1.2430783139337764E-2</v>
      </c>
    </row>
    <row r="1332" spans="2:16" ht="14.25" customHeight="1">
      <c r="B1332" s="243">
        <v>380.40646558037821</v>
      </c>
      <c r="C1332" s="243">
        <v>383.27135656715166</v>
      </c>
      <c r="D1332" s="243">
        <v>380.03771723554598</v>
      </c>
      <c r="E1332" s="243">
        <v>382.72296159278574</v>
      </c>
      <c r="F1332" s="243">
        <v>6149849.0278832708</v>
      </c>
      <c r="G1332" s="243" t="s">
        <v>1362</v>
      </c>
      <c r="H1332" s="151">
        <f t="shared" si="43"/>
        <v>-6.0526705864913932E-3</v>
      </c>
      <c r="J1332" s="147">
        <v>265.29000000000002</v>
      </c>
      <c r="K1332" s="147">
        <v>270.04500000000002</v>
      </c>
      <c r="L1332" s="147">
        <v>265.08999999999997</v>
      </c>
      <c r="M1332" s="147">
        <v>268.22000000000003</v>
      </c>
      <c r="N1332" s="147">
        <v>177080</v>
      </c>
      <c r="O1332" s="147" t="s">
        <v>1362</v>
      </c>
      <c r="P1332" s="151">
        <f t="shared" si="44"/>
        <v>-1.0923868466184539E-2</v>
      </c>
    </row>
    <row r="1333" spans="2:16" ht="14.25" customHeight="1">
      <c r="B1333" s="243">
        <v>381.18178261310237</v>
      </c>
      <c r="C1333" s="243">
        <v>382.48658444866254</v>
      </c>
      <c r="D1333" s="243">
        <v>380.53855312851425</v>
      </c>
      <c r="E1333" s="243">
        <v>380.65229781026636</v>
      </c>
      <c r="F1333" s="243">
        <v>5504423.8935459526</v>
      </c>
      <c r="G1333" s="243" t="s">
        <v>1363</v>
      </c>
      <c r="H1333" s="151">
        <f t="shared" si="43"/>
        <v>1.3909933182643108E-3</v>
      </c>
      <c r="J1333" s="147">
        <v>266.23</v>
      </c>
      <c r="K1333" s="147">
        <v>270</v>
      </c>
      <c r="L1333" s="147">
        <v>262.45999999999998</v>
      </c>
      <c r="M1333" s="147">
        <v>262.45999999999998</v>
      </c>
      <c r="N1333" s="147">
        <v>168738</v>
      </c>
      <c r="O1333" s="147" t="s">
        <v>1363</v>
      </c>
      <c r="P1333" s="151">
        <f t="shared" si="44"/>
        <v>1.4364093576164194E-2</v>
      </c>
    </row>
    <row r="1334" spans="2:16" ht="14.25" customHeight="1">
      <c r="B1334" s="243">
        <v>383.05388959455826</v>
      </c>
      <c r="C1334" s="243">
        <v>383.99939817105115</v>
      </c>
      <c r="D1334" s="243">
        <v>382.31639290489386</v>
      </c>
      <c r="E1334" s="243">
        <v>382.32584799065876</v>
      </c>
      <c r="F1334" s="243">
        <v>2405264.2742126822</v>
      </c>
      <c r="G1334" s="243" t="s">
        <v>1364</v>
      </c>
      <c r="H1334" s="151">
        <f t="shared" si="43"/>
        <v>1.9042437431990855E-3</v>
      </c>
      <c r="J1334" s="147">
        <v>264.43</v>
      </c>
      <c r="K1334" s="147">
        <v>270.26</v>
      </c>
      <c r="L1334" s="147">
        <v>261.86</v>
      </c>
      <c r="M1334" s="147">
        <v>262.51</v>
      </c>
      <c r="N1334" s="147">
        <v>160963</v>
      </c>
      <c r="O1334" s="147" t="s">
        <v>1364</v>
      </c>
      <c r="P1334" s="151">
        <f t="shared" si="44"/>
        <v>7.3140070854444961E-3</v>
      </c>
    </row>
    <row r="1335" spans="2:16" ht="14.25" customHeight="1">
      <c r="B1335" s="243">
        <v>381.40870467146067</v>
      </c>
      <c r="C1335" s="243">
        <v>382.70405142125588</v>
      </c>
      <c r="D1335" s="243">
        <v>380.13226809319531</v>
      </c>
      <c r="E1335" s="243">
        <v>382.14620136112512</v>
      </c>
      <c r="F1335" s="243">
        <v>3980640.7827209844</v>
      </c>
      <c r="G1335" s="243" t="s">
        <v>1365</v>
      </c>
      <c r="H1335" s="151">
        <f t="shared" si="43"/>
        <v>-1.9298809906722614E-3</v>
      </c>
      <c r="J1335" s="147">
        <v>262.10000000000002</v>
      </c>
      <c r="K1335" s="147">
        <v>265</v>
      </c>
      <c r="L1335" s="147">
        <v>260.0915</v>
      </c>
      <c r="M1335" s="147">
        <v>263.31</v>
      </c>
      <c r="N1335" s="147">
        <v>392322</v>
      </c>
      <c r="O1335" s="147" t="s">
        <v>1365</v>
      </c>
      <c r="P1335" s="151">
        <f t="shared" si="44"/>
        <v>-4.5953438912308409E-3</v>
      </c>
    </row>
    <row r="1336" spans="2:16" ht="14.25" customHeight="1">
      <c r="B1336" s="243">
        <v>381.61671655828911</v>
      </c>
      <c r="C1336" s="243">
        <v>382.41094376254313</v>
      </c>
      <c r="D1336" s="243">
        <v>378.95983745834411</v>
      </c>
      <c r="E1336" s="243">
        <v>382.41094376254313</v>
      </c>
      <c r="F1336" s="243">
        <v>3835052.4682176975</v>
      </c>
      <c r="G1336" s="243" t="s">
        <v>1366</v>
      </c>
      <c r="H1336" s="151">
        <f t="shared" si="43"/>
        <v>-2.076894548151853E-3</v>
      </c>
      <c r="J1336" s="147">
        <v>261.23</v>
      </c>
      <c r="K1336" s="147">
        <v>261.64499999999998</v>
      </c>
      <c r="L1336" s="147">
        <v>256.08999999999997</v>
      </c>
      <c r="M1336" s="147">
        <v>261.56</v>
      </c>
      <c r="N1336" s="147">
        <v>119581</v>
      </c>
      <c r="O1336" s="147" t="s">
        <v>1366</v>
      </c>
      <c r="P1336" s="151">
        <f t="shared" si="44"/>
        <v>-1.2616608044042632E-3</v>
      </c>
    </row>
    <row r="1337" spans="2:16" ht="14.25" customHeight="1">
      <c r="B1337" s="243">
        <v>383.31863199597632</v>
      </c>
      <c r="C1337" s="243">
        <v>383.32808708174122</v>
      </c>
      <c r="D1337" s="243">
        <v>381.8152733593526</v>
      </c>
      <c r="E1337" s="243">
        <v>381.90982421700193</v>
      </c>
      <c r="F1337" s="243">
        <v>2511168.1258429</v>
      </c>
      <c r="G1337" s="243" t="s">
        <v>1367</v>
      </c>
      <c r="H1337" s="151">
        <f t="shared" si="43"/>
        <v>3.6888492770845716E-3</v>
      </c>
      <c r="J1337" s="147">
        <v>262.08999999999997</v>
      </c>
      <c r="K1337" s="147">
        <v>265.24</v>
      </c>
      <c r="L1337" s="147">
        <v>261.52999999999997</v>
      </c>
      <c r="M1337" s="147">
        <v>265.24</v>
      </c>
      <c r="N1337" s="147">
        <v>86837</v>
      </c>
      <c r="O1337" s="147" t="s">
        <v>1367</v>
      </c>
      <c r="P1337" s="151">
        <f t="shared" si="44"/>
        <v>-1.1876036796863332E-2</v>
      </c>
    </row>
    <row r="1338" spans="2:16" ht="14.25" customHeight="1">
      <c r="B1338" s="243">
        <v>382.34475816218861</v>
      </c>
      <c r="C1338" s="243">
        <v>382.69459633549098</v>
      </c>
      <c r="D1338" s="243">
        <v>379.69733414800857</v>
      </c>
      <c r="E1338" s="243">
        <v>380.25518420813938</v>
      </c>
      <c r="F1338" s="243">
        <v>3333601.7021562718</v>
      </c>
      <c r="G1338" s="243" t="s">
        <v>1368</v>
      </c>
      <c r="H1338" s="151">
        <f t="shared" si="43"/>
        <v>5.495188601835066E-3</v>
      </c>
      <c r="J1338" s="147">
        <v>266.39999999999998</v>
      </c>
      <c r="K1338" s="147">
        <v>271.43</v>
      </c>
      <c r="L1338" s="147">
        <v>265.24</v>
      </c>
      <c r="M1338" s="147">
        <v>268.48</v>
      </c>
      <c r="N1338" s="147">
        <v>154140</v>
      </c>
      <c r="O1338" s="147" t="s">
        <v>1368</v>
      </c>
      <c r="P1338" s="151">
        <f t="shared" si="44"/>
        <v>-7.7473182359953929E-3</v>
      </c>
    </row>
    <row r="1339" spans="2:16" ht="14.25" customHeight="1">
      <c r="B1339" s="243">
        <v>378.56272385621713</v>
      </c>
      <c r="C1339" s="243">
        <v>378.73291539998581</v>
      </c>
      <c r="D1339" s="243">
        <v>376.9742694477091</v>
      </c>
      <c r="E1339" s="243">
        <v>377.92923310996684</v>
      </c>
      <c r="F1339" s="243">
        <v>2724194.2210128764</v>
      </c>
      <c r="G1339" s="243" t="s">
        <v>1369</v>
      </c>
      <c r="H1339" s="151">
        <f t="shared" si="43"/>
        <v>1.6762152560607646E-3</v>
      </c>
      <c r="J1339" s="147">
        <v>267.14</v>
      </c>
      <c r="K1339" s="147">
        <v>268.06</v>
      </c>
      <c r="L1339" s="147">
        <v>263.64999999999998</v>
      </c>
      <c r="M1339" s="147">
        <v>265.64999999999998</v>
      </c>
      <c r="N1339" s="147">
        <v>130128</v>
      </c>
      <c r="O1339" s="147" t="s">
        <v>1369</v>
      </c>
      <c r="P1339" s="151">
        <f t="shared" si="44"/>
        <v>5.6088838697534449E-3</v>
      </c>
    </row>
    <row r="1340" spans="2:16" ht="14.25" customHeight="1">
      <c r="B1340" s="243">
        <v>377.75904156619816</v>
      </c>
      <c r="C1340" s="243">
        <v>377.84413733808253</v>
      </c>
      <c r="D1340" s="243">
        <v>375.62219218332427</v>
      </c>
      <c r="E1340" s="243">
        <v>375.82074898438782</v>
      </c>
      <c r="F1340" s="243">
        <v>3169300.7070492529</v>
      </c>
      <c r="G1340" s="243" t="s">
        <v>1370</v>
      </c>
      <c r="H1340" s="151">
        <f t="shared" si="43"/>
        <v>5.1574922008652546E-3</v>
      </c>
      <c r="J1340" s="147">
        <v>264.66000000000003</v>
      </c>
      <c r="K1340" s="147">
        <v>265.77999999999997</v>
      </c>
      <c r="L1340" s="147">
        <v>259.01</v>
      </c>
      <c r="M1340" s="147">
        <v>263.87</v>
      </c>
      <c r="N1340" s="147">
        <v>241253</v>
      </c>
      <c r="O1340" s="147" t="s">
        <v>1370</v>
      </c>
      <c r="P1340" s="151">
        <f t="shared" si="44"/>
        <v>2.9938985106303662E-3</v>
      </c>
    </row>
    <row r="1341" spans="2:16" ht="14.25" customHeight="1">
      <c r="B1341" s="243">
        <v>374.61049800647692</v>
      </c>
      <c r="C1341" s="243">
        <v>375.83965915591762</v>
      </c>
      <c r="D1341" s="243">
        <v>368.75779991798601</v>
      </c>
      <c r="E1341" s="243">
        <v>370.02005386760402</v>
      </c>
      <c r="F1341" s="243">
        <v>4276086.0139384139</v>
      </c>
      <c r="G1341" s="243" t="s">
        <v>1371</v>
      </c>
      <c r="H1341" s="151">
        <f t="shared" si="43"/>
        <v>1.2405933383587309E-2</v>
      </c>
      <c r="J1341" s="147">
        <v>261.95</v>
      </c>
      <c r="K1341" s="147">
        <v>264.25</v>
      </c>
      <c r="L1341" s="147">
        <v>257.37</v>
      </c>
      <c r="M1341" s="147">
        <v>257.37</v>
      </c>
      <c r="N1341" s="147">
        <v>154677</v>
      </c>
      <c r="O1341" s="147" t="s">
        <v>1371</v>
      </c>
      <c r="P1341" s="151">
        <f t="shared" si="44"/>
        <v>1.7795391848311803E-2</v>
      </c>
    </row>
    <row r="1342" spans="2:16" ht="14.25" customHeight="1">
      <c r="B1342" s="243">
        <v>369.39129066423624</v>
      </c>
      <c r="C1342" s="243">
        <v>370.88519421509494</v>
      </c>
      <c r="D1342" s="243">
        <v>366.79114207888085</v>
      </c>
      <c r="E1342" s="243">
        <v>370.43135009837835</v>
      </c>
      <c r="F1342" s="243">
        <v>13047164.570159737</v>
      </c>
      <c r="G1342" s="243" t="s">
        <v>1372</v>
      </c>
      <c r="H1342" s="151">
        <f t="shared" si="43"/>
        <v>-2.8076981979681115E-3</v>
      </c>
      <c r="J1342" s="147">
        <v>256.38</v>
      </c>
      <c r="K1342" s="147">
        <v>258.37</v>
      </c>
      <c r="L1342" s="147">
        <v>250.28</v>
      </c>
      <c r="M1342" s="147">
        <v>250.6</v>
      </c>
      <c r="N1342" s="147">
        <v>118853</v>
      </c>
      <c r="O1342" s="147" t="s">
        <v>1372</v>
      </c>
      <c r="P1342" s="151">
        <f t="shared" si="44"/>
        <v>2.3064644852354377E-2</v>
      </c>
    </row>
    <row r="1343" spans="2:16" ht="14.25" customHeight="1">
      <c r="B1343" s="243">
        <v>374.998156522839</v>
      </c>
      <c r="C1343" s="243">
        <v>379.03547814446353</v>
      </c>
      <c r="D1343" s="243">
        <v>374.5537674918873</v>
      </c>
      <c r="E1343" s="243">
        <v>378.99765780140382</v>
      </c>
      <c r="F1343" s="243">
        <v>4776849.3192869909</v>
      </c>
      <c r="G1343" s="243" t="s">
        <v>1373</v>
      </c>
      <c r="H1343" s="151">
        <f t="shared" si="43"/>
        <v>-1.0552839038020068E-2</v>
      </c>
      <c r="J1343" s="147">
        <v>254.22</v>
      </c>
      <c r="K1343" s="147">
        <v>255.55</v>
      </c>
      <c r="L1343" s="147">
        <v>248.51</v>
      </c>
      <c r="M1343" s="147">
        <v>252.5</v>
      </c>
      <c r="N1343" s="147">
        <v>119418</v>
      </c>
      <c r="O1343" s="147" t="s">
        <v>1373</v>
      </c>
      <c r="P1343" s="151">
        <f t="shared" si="44"/>
        <v>6.8118811881188179E-3</v>
      </c>
    </row>
    <row r="1344" spans="2:16" ht="14.25" customHeight="1">
      <c r="B1344" s="243">
        <v>377.93868819573186</v>
      </c>
      <c r="C1344" s="243">
        <v>378.56272385621713</v>
      </c>
      <c r="D1344" s="243">
        <v>376.12803927174798</v>
      </c>
      <c r="E1344" s="243">
        <v>377.95759836726171</v>
      </c>
      <c r="F1344" s="243">
        <v>4742310.2354416251</v>
      </c>
      <c r="G1344" s="243" t="s">
        <v>1374</v>
      </c>
      <c r="H1344" s="151">
        <f t="shared" si="43"/>
        <v>-5.0032521138776431E-5</v>
      </c>
      <c r="J1344" s="147">
        <v>250.72</v>
      </c>
      <c r="K1344" s="147">
        <v>253.94</v>
      </c>
      <c r="L1344" s="147">
        <v>249.02</v>
      </c>
      <c r="M1344" s="147">
        <v>250.94</v>
      </c>
      <c r="N1344" s="147">
        <v>127400</v>
      </c>
      <c r="O1344" s="147" t="s">
        <v>1374</v>
      </c>
      <c r="P1344" s="151">
        <f t="shared" si="44"/>
        <v>-8.7670359448477342E-4</v>
      </c>
    </row>
    <row r="1345" spans="2:16" ht="14.25" customHeight="1">
      <c r="B1345" s="243">
        <v>379.1583942594076</v>
      </c>
      <c r="C1345" s="243">
        <v>380.63338763873651</v>
      </c>
      <c r="D1345" s="243">
        <v>378.03323905338112</v>
      </c>
      <c r="E1345" s="243">
        <v>380.15117826472516</v>
      </c>
      <c r="F1345" s="243">
        <v>3524252.5375708337</v>
      </c>
      <c r="G1345" s="243" t="s">
        <v>1375</v>
      </c>
      <c r="H1345" s="151">
        <f t="shared" si="43"/>
        <v>-2.6115505148486262E-3</v>
      </c>
      <c r="J1345" s="147">
        <v>253.83</v>
      </c>
      <c r="K1345" s="147">
        <v>268.005</v>
      </c>
      <c r="L1345" s="147">
        <v>252.37</v>
      </c>
      <c r="M1345" s="147">
        <v>266.45</v>
      </c>
      <c r="N1345" s="147">
        <v>148744</v>
      </c>
      <c r="O1345" s="147" t="s">
        <v>1375</v>
      </c>
      <c r="P1345" s="151">
        <f t="shared" si="44"/>
        <v>-4.7363482829799075E-2</v>
      </c>
    </row>
    <row r="1346" spans="2:16" ht="14.25" customHeight="1">
      <c r="B1346" s="243">
        <v>378.63836454233655</v>
      </c>
      <c r="C1346" s="243">
        <v>380.56720203838199</v>
      </c>
      <c r="D1346" s="243">
        <v>378.37362214091854</v>
      </c>
      <c r="E1346" s="243">
        <v>379.22457985976212</v>
      </c>
      <c r="F1346" s="243">
        <v>4561663.5398468049</v>
      </c>
      <c r="G1346" s="243" t="s">
        <v>1376</v>
      </c>
      <c r="H1346" s="151">
        <f t="shared" si="43"/>
        <v>-1.5458262690735136E-3</v>
      </c>
      <c r="J1346" s="147">
        <v>264.11</v>
      </c>
      <c r="K1346" s="147">
        <v>271.02999999999997</v>
      </c>
      <c r="L1346" s="147">
        <v>263.61</v>
      </c>
      <c r="M1346" s="147">
        <v>270</v>
      </c>
      <c r="N1346" s="147">
        <v>91697</v>
      </c>
      <c r="O1346" s="147" t="s">
        <v>1376</v>
      </c>
      <c r="P1346" s="151">
        <f t="shared" si="44"/>
        <v>-2.1814814814814731E-2</v>
      </c>
    </row>
    <row r="1347" spans="2:16" ht="14.25" customHeight="1">
      <c r="B1347" s="243">
        <v>379.92425620636686</v>
      </c>
      <c r="C1347" s="243">
        <v>380.12281300743035</v>
      </c>
      <c r="D1347" s="243">
        <v>378.08051448220573</v>
      </c>
      <c r="E1347" s="243">
        <v>378.48708317009772</v>
      </c>
      <c r="F1347" s="243">
        <v>3097976.1292753057</v>
      </c>
      <c r="G1347" s="243" t="s">
        <v>1377</v>
      </c>
      <c r="H1347" s="151">
        <f t="shared" si="43"/>
        <v>3.7971521358979299E-3</v>
      </c>
      <c r="J1347" s="147">
        <v>271.60000000000002</v>
      </c>
      <c r="K1347" s="147">
        <v>275.08999999999997</v>
      </c>
      <c r="L1347" s="147">
        <v>270.02999999999997</v>
      </c>
      <c r="M1347" s="147">
        <v>275.08999999999997</v>
      </c>
      <c r="N1347" s="147">
        <v>84024</v>
      </c>
      <c r="O1347" s="147" t="s">
        <v>1377</v>
      </c>
      <c r="P1347" s="151">
        <f t="shared" si="44"/>
        <v>-1.268675706132516E-2</v>
      </c>
    </row>
    <row r="1348" spans="2:16" ht="14.25" customHeight="1">
      <c r="B1348" s="243">
        <v>378.55326877045218</v>
      </c>
      <c r="C1348" s="243">
        <v>378.81801117187018</v>
      </c>
      <c r="D1348" s="243">
        <v>375.7640184697982</v>
      </c>
      <c r="E1348" s="243">
        <v>375.96257527086169</v>
      </c>
      <c r="F1348" s="243">
        <v>3524207.0594005994</v>
      </c>
      <c r="G1348" s="243" t="s">
        <v>1378</v>
      </c>
      <c r="H1348" s="151">
        <f t="shared" si="43"/>
        <v>6.8908281568291763E-3</v>
      </c>
      <c r="J1348" s="147">
        <v>276.55</v>
      </c>
      <c r="K1348" s="147">
        <v>277.60000000000002</v>
      </c>
      <c r="L1348" s="147">
        <v>271.64</v>
      </c>
      <c r="M1348" s="147">
        <v>273.77999999999997</v>
      </c>
      <c r="N1348" s="147">
        <v>78071</v>
      </c>
      <c r="O1348" s="147" t="s">
        <v>1378</v>
      </c>
      <c r="P1348" s="151">
        <f t="shared" si="44"/>
        <v>1.0117612681715293E-2</v>
      </c>
    </row>
    <row r="1349" spans="2:16" ht="14.25" customHeight="1">
      <c r="B1349" s="243">
        <v>374.60104292071196</v>
      </c>
      <c r="C1349" s="243">
        <v>375.25344383849205</v>
      </c>
      <c r="D1349" s="243">
        <v>371.60378073322954</v>
      </c>
      <c r="E1349" s="243">
        <v>372.71948085349112</v>
      </c>
      <c r="F1349" s="243">
        <v>6152355.6154055027</v>
      </c>
      <c r="G1349" s="243" t="s">
        <v>1379</v>
      </c>
      <c r="H1349" s="151">
        <f t="shared" si="43"/>
        <v>5.048198883815358E-3</v>
      </c>
      <c r="J1349" s="147">
        <v>273.2</v>
      </c>
      <c r="K1349" s="147">
        <v>275.44</v>
      </c>
      <c r="L1349" s="147">
        <v>268.19</v>
      </c>
      <c r="M1349" s="147">
        <v>270.31</v>
      </c>
      <c r="N1349" s="147">
        <v>131483</v>
      </c>
      <c r="O1349" s="147" t="s">
        <v>1379</v>
      </c>
      <c r="P1349" s="151">
        <f t="shared" si="44"/>
        <v>1.0691428360031008E-2</v>
      </c>
    </row>
    <row r="1350" spans="2:16" ht="14.25" customHeight="1">
      <c r="B1350" s="243">
        <v>377.60776019395934</v>
      </c>
      <c r="C1350" s="243">
        <v>377.8819576811423</v>
      </c>
      <c r="D1350" s="243">
        <v>375.06434212319351</v>
      </c>
      <c r="E1350" s="243">
        <v>376.9459041904143</v>
      </c>
      <c r="F1350" s="243">
        <v>5021456.3019733541</v>
      </c>
      <c r="G1350" s="243" t="s">
        <v>1380</v>
      </c>
      <c r="H1350" s="151">
        <f t="shared" si="43"/>
        <v>1.7558381618882901E-3</v>
      </c>
      <c r="J1350" s="147">
        <v>275.37</v>
      </c>
      <c r="K1350" s="147">
        <v>279.35000000000002</v>
      </c>
      <c r="L1350" s="147">
        <v>273.45999999999998</v>
      </c>
      <c r="M1350" s="147">
        <v>278.2</v>
      </c>
      <c r="N1350" s="147">
        <v>80150</v>
      </c>
      <c r="O1350" s="147" t="s">
        <v>1380</v>
      </c>
      <c r="P1350" s="151">
        <f t="shared" si="44"/>
        <v>-1.017253774263116E-2</v>
      </c>
    </row>
    <row r="1351" spans="2:16" ht="14.25" customHeight="1">
      <c r="B1351" s="243">
        <v>376.31241344416406</v>
      </c>
      <c r="C1351" s="243">
        <v>377.24846693489201</v>
      </c>
      <c r="D1351" s="243">
        <v>373.75954028763334</v>
      </c>
      <c r="E1351" s="243">
        <v>377.04045504806356</v>
      </c>
      <c r="F1351" s="243">
        <v>4580969.5519273179</v>
      </c>
      <c r="G1351" s="243" t="s">
        <v>1381</v>
      </c>
      <c r="H1351" s="151">
        <f t="shared" si="43"/>
        <v>-1.9309376332221628E-3</v>
      </c>
      <c r="J1351" s="147">
        <v>275.89999999999998</v>
      </c>
      <c r="K1351" s="147">
        <v>276.77</v>
      </c>
      <c r="L1351" s="147">
        <v>269.79500000000002</v>
      </c>
      <c r="M1351" s="147">
        <v>275.29000000000002</v>
      </c>
      <c r="N1351" s="147">
        <v>125112</v>
      </c>
      <c r="O1351" s="147" t="s">
        <v>1381</v>
      </c>
      <c r="P1351" s="151">
        <f t="shared" si="44"/>
        <v>2.2158451087941344E-3</v>
      </c>
    </row>
    <row r="1352" spans="2:16" ht="14.25" customHeight="1">
      <c r="B1352" s="243">
        <v>377.02154487653371</v>
      </c>
      <c r="C1352" s="243">
        <v>377.30519744948162</v>
      </c>
      <c r="D1352" s="243">
        <v>374.91778829383708</v>
      </c>
      <c r="E1352" s="243">
        <v>375.22507858119729</v>
      </c>
      <c r="F1352" s="243">
        <v>4614565.2281482834</v>
      </c>
      <c r="G1352" s="243" t="s">
        <v>1382</v>
      </c>
      <c r="H1352" s="151">
        <f t="shared" si="43"/>
        <v>4.7877031624037336E-3</v>
      </c>
      <c r="J1352" s="147">
        <v>273.52999999999997</v>
      </c>
      <c r="K1352" s="147">
        <v>277.25</v>
      </c>
      <c r="L1352" s="147">
        <v>271.5</v>
      </c>
      <c r="M1352" s="147">
        <v>277.25</v>
      </c>
      <c r="N1352" s="147">
        <v>81353</v>
      </c>
      <c r="O1352" s="147" t="s">
        <v>1382</v>
      </c>
      <c r="P1352" s="151">
        <f t="shared" si="44"/>
        <v>-1.3417493237150691E-2</v>
      </c>
    </row>
    <row r="1353" spans="2:16" ht="14.25" customHeight="1">
      <c r="B1353" s="243">
        <v>374.17556406129017</v>
      </c>
      <c r="C1353" s="243">
        <v>374.2795700047044</v>
      </c>
      <c r="D1353" s="243">
        <v>372.72534300666541</v>
      </c>
      <c r="E1353" s="243">
        <v>372.81403171114044</v>
      </c>
      <c r="F1353" s="243">
        <v>3611299.8706635549</v>
      </c>
      <c r="G1353" s="243" t="s">
        <v>1383</v>
      </c>
      <c r="H1353" s="151">
        <f t="shared" si="43"/>
        <v>3.6520415926959426E-3</v>
      </c>
      <c r="J1353" s="147">
        <v>276.3</v>
      </c>
      <c r="K1353" s="147">
        <v>277.88499999999999</v>
      </c>
      <c r="L1353" s="147">
        <v>271.17340000000002</v>
      </c>
      <c r="M1353" s="147">
        <v>273.33</v>
      </c>
      <c r="N1353" s="147">
        <v>138263</v>
      </c>
      <c r="O1353" s="147" t="s">
        <v>1383</v>
      </c>
      <c r="P1353" s="151">
        <f t="shared" si="44"/>
        <v>1.0865986170563113E-2</v>
      </c>
    </row>
    <row r="1354" spans="2:16" ht="14.25" customHeight="1">
      <c r="B1354" s="243">
        <v>372.07653502147599</v>
      </c>
      <c r="C1354" s="243">
        <v>372.65424076171314</v>
      </c>
      <c r="D1354" s="243">
        <v>371.32012816028174</v>
      </c>
      <c r="E1354" s="243">
        <v>371.32012816028174</v>
      </c>
      <c r="F1354" s="243">
        <v>4014691.2406442952</v>
      </c>
      <c r="G1354" s="243" t="s">
        <v>1384</v>
      </c>
      <c r="H1354" s="151">
        <f t="shared" ref="H1354:H1396" si="45">B1354/E1354-1</f>
        <v>2.0370747606435202E-3</v>
      </c>
      <c r="J1354" s="147">
        <v>274.06</v>
      </c>
      <c r="K1354" s="147">
        <v>279.60000000000002</v>
      </c>
      <c r="L1354" s="147">
        <v>272.95</v>
      </c>
      <c r="M1354" s="147">
        <v>275.62</v>
      </c>
      <c r="N1354" s="147">
        <v>130015</v>
      </c>
      <c r="O1354" s="147" t="s">
        <v>1384</v>
      </c>
      <c r="P1354" s="151">
        <f t="shared" ref="P1354:P1396" si="46">J1354/M1354-1</f>
        <v>-5.6599666207096666E-3</v>
      </c>
    </row>
    <row r="1355" spans="2:16" ht="14.25" customHeight="1">
      <c r="B1355" s="243">
        <v>371.73615193393857</v>
      </c>
      <c r="C1355" s="243">
        <v>372.47364862360303</v>
      </c>
      <c r="D1355" s="243">
        <v>371.26339764569212</v>
      </c>
      <c r="E1355" s="243">
        <v>371.91579856347221</v>
      </c>
      <c r="F1355" s="243">
        <v>3096350.5490973862</v>
      </c>
      <c r="G1355" s="243" t="s">
        <v>1385</v>
      </c>
      <c r="H1355" s="151">
        <f t="shared" si="45"/>
        <v>-4.8303038006858312E-4</v>
      </c>
      <c r="J1355" s="147">
        <v>276.88</v>
      </c>
      <c r="K1355" s="147">
        <v>282.72000000000003</v>
      </c>
      <c r="L1355" s="147">
        <v>275.67</v>
      </c>
      <c r="M1355" s="147">
        <v>280.45999999999998</v>
      </c>
      <c r="N1355" s="147">
        <v>133532</v>
      </c>
      <c r="O1355" s="147" t="s">
        <v>1385</v>
      </c>
      <c r="P1355" s="151">
        <f t="shared" si="46"/>
        <v>-1.2764743635455988E-2</v>
      </c>
    </row>
    <row r="1356" spans="2:16" ht="14.25" customHeight="1">
      <c r="B1356" s="243">
        <v>371.57267350106287</v>
      </c>
      <c r="C1356" s="243">
        <v>371.69517412886552</v>
      </c>
      <c r="D1356" s="243">
        <v>370.16862784394027</v>
      </c>
      <c r="E1356" s="243">
        <v>371.29940286981082</v>
      </c>
      <c r="F1356" s="243">
        <v>2566528.561033356</v>
      </c>
      <c r="G1356" s="243" t="s">
        <v>1386</v>
      </c>
      <c r="H1356" s="151">
        <f t="shared" si="45"/>
        <v>7.3598456970280779E-4</v>
      </c>
      <c r="J1356" s="147">
        <v>280.92</v>
      </c>
      <c r="K1356" s="147">
        <v>288.10000000000002</v>
      </c>
      <c r="L1356" s="147">
        <v>279.64</v>
      </c>
      <c r="M1356" s="147">
        <v>285.14999999999998</v>
      </c>
      <c r="N1356" s="147">
        <v>101781</v>
      </c>
      <c r="O1356" s="147" t="s">
        <v>1386</v>
      </c>
      <c r="P1356" s="151">
        <f t="shared" si="46"/>
        <v>-1.4834297738032465E-2</v>
      </c>
    </row>
    <row r="1357" spans="2:16" ht="14.25" customHeight="1">
      <c r="B1357" s="243">
        <v>370.79997723338471</v>
      </c>
      <c r="C1357" s="243">
        <v>371.19574849243941</v>
      </c>
      <c r="D1357" s="243">
        <v>369.89535721268828</v>
      </c>
      <c r="E1357" s="243">
        <v>370.23458972044938</v>
      </c>
      <c r="F1357" s="243">
        <v>3038340.1838530805</v>
      </c>
      <c r="G1357" s="243" t="s">
        <v>1387</v>
      </c>
      <c r="H1357" s="151">
        <f t="shared" si="45"/>
        <v>1.5271061338764103E-3</v>
      </c>
      <c r="J1357" s="147">
        <v>283.27999999999997</v>
      </c>
      <c r="K1357" s="147">
        <v>283.8</v>
      </c>
      <c r="L1357" s="147">
        <v>278.33</v>
      </c>
      <c r="M1357" s="147">
        <v>278.62</v>
      </c>
      <c r="N1357" s="147">
        <v>365423</v>
      </c>
      <c r="O1357" s="147" t="s">
        <v>1387</v>
      </c>
      <c r="P1357" s="151">
        <f t="shared" si="46"/>
        <v>1.6725288923982395E-2</v>
      </c>
    </row>
    <row r="1358" spans="2:16" ht="14.25" customHeight="1">
      <c r="B1358" s="243">
        <v>369.43362407712442</v>
      </c>
      <c r="C1358" s="243">
        <v>369.87509749347475</v>
      </c>
      <c r="D1358" s="243">
        <v>369.07554531893209</v>
      </c>
      <c r="E1358" s="243">
        <v>369.28285407367503</v>
      </c>
      <c r="F1358" s="243">
        <v>3170731.5053582103</v>
      </c>
      <c r="G1358" s="243" t="s">
        <v>1388</v>
      </c>
      <c r="H1358" s="151">
        <f t="shared" si="45"/>
        <v>4.0827783306540688E-4</v>
      </c>
      <c r="J1358" s="147">
        <v>279.42</v>
      </c>
      <c r="K1358" s="147">
        <v>285.86500000000001</v>
      </c>
      <c r="L1358" s="147">
        <v>279.13</v>
      </c>
      <c r="M1358" s="147">
        <v>284.47000000000003</v>
      </c>
      <c r="N1358" s="147">
        <v>136689</v>
      </c>
      <c r="O1358" s="147" t="s">
        <v>1388</v>
      </c>
      <c r="P1358" s="151">
        <f t="shared" si="46"/>
        <v>-1.7752311315780256E-2</v>
      </c>
    </row>
    <row r="1359" spans="2:16" ht="14.25" customHeight="1">
      <c r="B1359" s="243">
        <v>367.33226715404834</v>
      </c>
      <c r="C1359" s="243">
        <v>368.57611968250592</v>
      </c>
      <c r="D1359" s="243">
        <v>367.21918965146125</v>
      </c>
      <c r="E1359" s="243">
        <v>367.83169279047451</v>
      </c>
      <c r="F1359" s="243">
        <v>2551335.0878782752</v>
      </c>
      <c r="G1359" s="243" t="s">
        <v>1389</v>
      </c>
      <c r="H1359" s="151">
        <f t="shared" si="45"/>
        <v>-1.3577558601255424E-3</v>
      </c>
      <c r="J1359" s="147">
        <v>279.91000000000003</v>
      </c>
      <c r="K1359" s="147">
        <v>281.05</v>
      </c>
      <c r="L1359" s="147">
        <v>272.58999999999997</v>
      </c>
      <c r="M1359" s="147">
        <v>272.58999999999997</v>
      </c>
      <c r="N1359" s="147">
        <v>159400</v>
      </c>
      <c r="O1359" s="147" t="s">
        <v>1389</v>
      </c>
      <c r="P1359" s="151">
        <f t="shared" si="46"/>
        <v>2.6853516269855993E-2</v>
      </c>
    </row>
    <row r="1360" spans="2:16" ht="14.25" customHeight="1">
      <c r="B1360" s="243">
        <v>367.72803841310304</v>
      </c>
      <c r="C1360" s="243">
        <v>368.52900405642799</v>
      </c>
      <c r="D1360" s="243">
        <v>365.11783272838517</v>
      </c>
      <c r="E1360" s="243">
        <v>365.84341336998546</v>
      </c>
      <c r="F1360" s="243">
        <v>2871066.5921371863</v>
      </c>
      <c r="G1360" s="243" t="s">
        <v>1390</v>
      </c>
      <c r="H1360" s="151">
        <f t="shared" si="45"/>
        <v>5.1514527096641061E-3</v>
      </c>
      <c r="J1360" s="147">
        <v>273.7</v>
      </c>
      <c r="K1360" s="147">
        <v>275.38499999999999</v>
      </c>
      <c r="L1360" s="147">
        <v>271.81</v>
      </c>
      <c r="M1360" s="147">
        <v>275.11</v>
      </c>
      <c r="N1360" s="147">
        <v>125441</v>
      </c>
      <c r="O1360" s="147" t="s">
        <v>1390</v>
      </c>
      <c r="P1360" s="151">
        <f t="shared" si="46"/>
        <v>-5.1252226382175747E-3</v>
      </c>
    </row>
    <row r="1361" spans="2:16" ht="14.25" customHeight="1">
      <c r="B1361" s="243">
        <v>365.78687461869191</v>
      </c>
      <c r="C1361" s="243">
        <v>365.97533712300367</v>
      </c>
      <c r="D1361" s="243">
        <v>361.51819889603058</v>
      </c>
      <c r="E1361" s="243">
        <v>362.31916453935554</v>
      </c>
      <c r="F1361" s="243">
        <v>4658517.105066523</v>
      </c>
      <c r="G1361" s="243" t="s">
        <v>1391</v>
      </c>
      <c r="H1361" s="151">
        <f t="shared" si="45"/>
        <v>9.5708712613784552E-3</v>
      </c>
      <c r="J1361" s="147">
        <v>273.69</v>
      </c>
      <c r="K1361" s="147">
        <v>274.02</v>
      </c>
      <c r="L1361" s="147">
        <v>263.24</v>
      </c>
      <c r="M1361" s="147">
        <v>268.73</v>
      </c>
      <c r="N1361" s="147">
        <v>412945</v>
      </c>
      <c r="O1361" s="147" t="s">
        <v>1391</v>
      </c>
      <c r="P1361" s="151">
        <f t="shared" si="46"/>
        <v>1.8457187511628614E-2</v>
      </c>
    </row>
    <row r="1362" spans="2:16" ht="14.25" customHeight="1">
      <c r="B1362" s="243">
        <v>360.73607950313675</v>
      </c>
      <c r="C1362" s="243">
        <v>363.1483995583273</v>
      </c>
      <c r="D1362" s="243">
        <v>360.45338574666914</v>
      </c>
      <c r="E1362" s="243">
        <v>362.59243517060764</v>
      </c>
      <c r="F1362" s="243">
        <v>5530129.2095531942</v>
      </c>
      <c r="G1362" s="243" t="s">
        <v>1392</v>
      </c>
      <c r="H1362" s="151">
        <f t="shared" si="45"/>
        <v>-5.1196756672472477E-3</v>
      </c>
      <c r="J1362" s="147">
        <v>267.57</v>
      </c>
      <c r="K1362" s="147">
        <v>275.33999999999997</v>
      </c>
      <c r="L1362" s="147">
        <v>265.55</v>
      </c>
      <c r="M1362" s="147">
        <v>274.18</v>
      </c>
      <c r="N1362" s="147">
        <v>502192</v>
      </c>
      <c r="O1362" s="147" t="s">
        <v>1392</v>
      </c>
      <c r="P1362" s="151">
        <f t="shared" si="46"/>
        <v>-2.4108250054708624E-2</v>
      </c>
    </row>
    <row r="1363" spans="2:16" ht="14.25" customHeight="1">
      <c r="B1363" s="243">
        <v>365.58898898916459</v>
      </c>
      <c r="C1363" s="243">
        <v>366.47476275942984</v>
      </c>
      <c r="D1363" s="243">
        <v>363.26147706091433</v>
      </c>
      <c r="E1363" s="243">
        <v>365.259179606619</v>
      </c>
      <c r="F1363" s="243">
        <v>4314208.8288024077</v>
      </c>
      <c r="G1363" s="243" t="s">
        <v>1393</v>
      </c>
      <c r="H1363" s="151">
        <f t="shared" si="45"/>
        <v>9.0294618440744934E-4</v>
      </c>
      <c r="J1363" s="147">
        <v>273.26</v>
      </c>
      <c r="K1363" s="147">
        <v>278.27</v>
      </c>
      <c r="L1363" s="147">
        <v>271.77499999999998</v>
      </c>
      <c r="M1363" s="147">
        <v>275</v>
      </c>
      <c r="N1363" s="147">
        <v>236668</v>
      </c>
      <c r="O1363" s="147" t="s">
        <v>1393</v>
      </c>
      <c r="P1363" s="151">
        <f t="shared" si="46"/>
        <v>-6.3272727272727369E-3</v>
      </c>
    </row>
    <row r="1364" spans="2:16" ht="14.25" customHeight="1">
      <c r="B1364" s="243">
        <v>365.7209127421828</v>
      </c>
      <c r="C1364" s="243">
        <v>368.04842467043301</v>
      </c>
      <c r="D1364" s="243">
        <v>363.75147957212488</v>
      </c>
      <c r="E1364" s="243">
        <v>367.89633542945347</v>
      </c>
      <c r="F1364" s="243">
        <v>4451088.0456747822</v>
      </c>
      <c r="G1364" s="243" t="s">
        <v>1394</v>
      </c>
      <c r="H1364" s="151">
        <f t="shared" si="45"/>
        <v>-5.9131404087818806E-3</v>
      </c>
      <c r="J1364" s="147">
        <v>275.37</v>
      </c>
      <c r="K1364" s="147">
        <v>278.51</v>
      </c>
      <c r="L1364" s="147">
        <v>271.27</v>
      </c>
      <c r="M1364" s="147">
        <v>277.98</v>
      </c>
      <c r="N1364" s="147">
        <v>137776</v>
      </c>
      <c r="O1364" s="147" t="s">
        <v>1394</v>
      </c>
      <c r="P1364" s="151">
        <f t="shared" si="46"/>
        <v>-9.3891646881071322E-3</v>
      </c>
    </row>
    <row r="1365" spans="2:16" ht="14.25" customHeight="1">
      <c r="B1365" s="243">
        <v>367.7374615383186</v>
      </c>
      <c r="C1365" s="243">
        <v>368.63265843379946</v>
      </c>
      <c r="D1365" s="243">
        <v>366.94582478895705</v>
      </c>
      <c r="E1365" s="243">
        <v>368.58554280772148</v>
      </c>
      <c r="F1365" s="243">
        <v>2552273.2055194774</v>
      </c>
      <c r="G1365" s="243" t="s">
        <v>1395</v>
      </c>
      <c r="H1365" s="151">
        <f t="shared" si="45"/>
        <v>-2.3009075802120638E-3</v>
      </c>
      <c r="J1365" s="147">
        <v>276.27</v>
      </c>
      <c r="K1365" s="147">
        <v>279.27999999999997</v>
      </c>
      <c r="L1365" s="147">
        <v>272.55</v>
      </c>
      <c r="M1365" s="147">
        <v>277.19</v>
      </c>
      <c r="N1365" s="147">
        <v>226218</v>
      </c>
      <c r="O1365" s="147" t="s">
        <v>1395</v>
      </c>
      <c r="P1365" s="151">
        <f t="shared" si="46"/>
        <v>-3.3190230527797571E-3</v>
      </c>
    </row>
    <row r="1366" spans="2:16" ht="14.25" customHeight="1">
      <c r="B1366" s="243">
        <v>368.51015780599681</v>
      </c>
      <c r="C1366" s="243">
        <v>368.51015780599681</v>
      </c>
      <c r="D1366" s="243">
        <v>366.55957088637012</v>
      </c>
      <c r="E1366" s="243">
        <v>367.69976903745624</v>
      </c>
      <c r="F1366" s="243">
        <v>2390082.8530585137</v>
      </c>
      <c r="G1366" s="243" t="s">
        <v>1396</v>
      </c>
      <c r="H1366" s="151">
        <f t="shared" si="45"/>
        <v>2.2039414674150937E-3</v>
      </c>
      <c r="J1366" s="147">
        <v>277.42</v>
      </c>
      <c r="K1366" s="147">
        <v>291.10000000000002</v>
      </c>
      <c r="L1366" s="147">
        <v>276.87</v>
      </c>
      <c r="M1366" s="147">
        <v>291.10000000000002</v>
      </c>
      <c r="N1366" s="147">
        <v>370695</v>
      </c>
      <c r="O1366" s="147" t="s">
        <v>1396</v>
      </c>
      <c r="P1366" s="151">
        <f t="shared" si="46"/>
        <v>-4.6994160082445946E-2</v>
      </c>
    </row>
    <row r="1367" spans="2:16" ht="14.25" customHeight="1">
      <c r="B1367" s="243">
        <v>367.5866915348692</v>
      </c>
      <c r="C1367" s="243">
        <v>367.69034591224067</v>
      </c>
      <c r="D1367" s="243">
        <v>366.30514650554926</v>
      </c>
      <c r="E1367" s="243">
        <v>367.50188340792891</v>
      </c>
      <c r="F1367" s="243">
        <v>2378722.5031161276</v>
      </c>
      <c r="G1367" s="243" t="s">
        <v>1397</v>
      </c>
      <c r="H1367" s="151">
        <f t="shared" si="45"/>
        <v>2.3076923076925659E-4</v>
      </c>
      <c r="J1367" s="147">
        <v>289.77999999999997</v>
      </c>
      <c r="K1367" s="147">
        <v>290</v>
      </c>
      <c r="L1367" s="147">
        <v>285.23</v>
      </c>
      <c r="M1367" s="147">
        <v>286.47000000000003</v>
      </c>
      <c r="N1367" s="147">
        <v>119909</v>
      </c>
      <c r="O1367" s="147" t="s">
        <v>1397</v>
      </c>
      <c r="P1367" s="151">
        <f t="shared" si="46"/>
        <v>1.1554438510140486E-2</v>
      </c>
    </row>
    <row r="1368" spans="2:16" ht="14.25" customHeight="1">
      <c r="B1368" s="243">
        <v>366.94591902020926</v>
      </c>
      <c r="C1368" s="243">
        <v>367.84083322193356</v>
      </c>
      <c r="D1368" s="243">
        <v>365.22148710575664</v>
      </c>
      <c r="E1368" s="243">
        <v>366.42764713335191</v>
      </c>
      <c r="F1368" s="243">
        <v>2771707.8360366938</v>
      </c>
      <c r="G1368" s="243" t="s">
        <v>1398</v>
      </c>
      <c r="H1368" s="151">
        <f t="shared" si="45"/>
        <v>1.4143907833152891E-3</v>
      </c>
      <c r="J1368" s="147">
        <v>286.20999999999998</v>
      </c>
      <c r="K1368" s="147">
        <v>286.85000000000002</v>
      </c>
      <c r="L1368" s="147">
        <v>280.75</v>
      </c>
      <c r="M1368" s="147">
        <v>283.77</v>
      </c>
      <c r="N1368" s="147">
        <v>128477</v>
      </c>
      <c r="O1368" s="147" t="s">
        <v>1398</v>
      </c>
      <c r="P1368" s="151">
        <f t="shared" si="46"/>
        <v>8.5985128801493449E-3</v>
      </c>
    </row>
    <row r="1369" spans="2:16" ht="14.25" customHeight="1">
      <c r="B1369" s="243">
        <v>365.259179606619</v>
      </c>
      <c r="C1369" s="243">
        <v>366.68207151417278</v>
      </c>
      <c r="D1369" s="243">
        <v>365.06129397709168</v>
      </c>
      <c r="E1369" s="243">
        <v>366.63495588809479</v>
      </c>
      <c r="F1369" s="243">
        <v>3149792.5922602918</v>
      </c>
      <c r="G1369" s="243" t="s">
        <v>1399</v>
      </c>
      <c r="H1369" s="151">
        <f t="shared" si="45"/>
        <v>-3.7524416572426444E-3</v>
      </c>
      <c r="J1369" s="147">
        <v>283.77999999999997</v>
      </c>
      <c r="K1369" s="147">
        <v>287.95999999999998</v>
      </c>
      <c r="L1369" s="147">
        <v>282.76</v>
      </c>
      <c r="M1369" s="147">
        <v>287.95999999999998</v>
      </c>
      <c r="N1369" s="147">
        <v>204944</v>
      </c>
      <c r="O1369" s="147" t="s">
        <v>1399</v>
      </c>
      <c r="P1369" s="151">
        <f t="shared" si="46"/>
        <v>-1.4515904986803774E-2</v>
      </c>
    </row>
    <row r="1370" spans="2:16" ht="14.25" customHeight="1">
      <c r="B1370" s="243">
        <v>365.83399024476989</v>
      </c>
      <c r="C1370" s="243">
        <v>366.63495588809479</v>
      </c>
      <c r="D1370" s="243">
        <v>364.14725083117963</v>
      </c>
      <c r="E1370" s="243">
        <v>366.55957088637012</v>
      </c>
      <c r="F1370" s="243">
        <v>2532723.428159493</v>
      </c>
      <c r="G1370" s="243" t="s">
        <v>1400</v>
      </c>
      <c r="H1370" s="151">
        <f t="shared" si="45"/>
        <v>-1.9794344473006431E-3</v>
      </c>
      <c r="J1370" s="147">
        <v>285.42</v>
      </c>
      <c r="K1370" s="147">
        <v>286.04000000000002</v>
      </c>
      <c r="L1370" s="147">
        <v>278.53500000000003</v>
      </c>
      <c r="M1370" s="147">
        <v>281.81</v>
      </c>
      <c r="N1370" s="147">
        <v>209848</v>
      </c>
      <c r="O1370" s="147" t="s">
        <v>1400</v>
      </c>
      <c r="P1370" s="151">
        <f t="shared" si="46"/>
        <v>1.281004932401264E-2</v>
      </c>
    </row>
    <row r="1371" spans="2:16" ht="14.25" customHeight="1">
      <c r="B1371" s="243">
        <v>365.77745149347635</v>
      </c>
      <c r="C1371" s="243">
        <v>366.2674540046869</v>
      </c>
      <c r="D1371" s="243">
        <v>364.91052397364223</v>
      </c>
      <c r="E1371" s="243">
        <v>366.10726087602188</v>
      </c>
      <c r="F1371" s="243">
        <v>2653705.5836458849</v>
      </c>
      <c r="G1371" s="243" t="s">
        <v>1401</v>
      </c>
      <c r="H1371" s="151">
        <f t="shared" si="45"/>
        <v>-9.0085452486343698E-4</v>
      </c>
      <c r="J1371" s="147">
        <v>278.12</v>
      </c>
      <c r="K1371" s="147">
        <v>279.41000000000003</v>
      </c>
      <c r="L1371" s="147">
        <v>267</v>
      </c>
      <c r="M1371" s="147">
        <v>268.25</v>
      </c>
      <c r="N1371" s="147">
        <v>190277</v>
      </c>
      <c r="O1371" s="147" t="s">
        <v>1401</v>
      </c>
      <c r="P1371" s="151">
        <f t="shared" si="46"/>
        <v>3.6794035414725146E-2</v>
      </c>
    </row>
    <row r="1372" spans="2:16" ht="14.25" customHeight="1">
      <c r="B1372" s="243">
        <v>366.0884146255907</v>
      </c>
      <c r="C1372" s="243">
        <v>366.37110838205837</v>
      </c>
      <c r="D1372" s="243">
        <v>364.44879083807842</v>
      </c>
      <c r="E1372" s="243">
        <v>364.49590646415635</v>
      </c>
      <c r="F1372" s="243">
        <v>2789035.4207036044</v>
      </c>
      <c r="G1372" s="243" t="s">
        <v>1402</v>
      </c>
      <c r="H1372" s="151">
        <f t="shared" si="45"/>
        <v>4.3690700860887777E-3</v>
      </c>
      <c r="J1372" s="147">
        <v>269.64999999999998</v>
      </c>
      <c r="K1372" s="147">
        <v>272.52</v>
      </c>
      <c r="L1372" s="147">
        <v>262.95999999999998</v>
      </c>
      <c r="M1372" s="147">
        <v>269.64</v>
      </c>
      <c r="N1372" s="147">
        <v>281610</v>
      </c>
      <c r="O1372" s="147" t="s">
        <v>1402</v>
      </c>
      <c r="P1372" s="151">
        <f t="shared" si="46"/>
        <v>3.7086485684678649E-5</v>
      </c>
    </row>
    <row r="1373" spans="2:16" ht="14.25" customHeight="1">
      <c r="B1373" s="243">
        <v>362.79974392535053</v>
      </c>
      <c r="C1373" s="243">
        <v>363.83628769906522</v>
      </c>
      <c r="D1373" s="243">
        <v>360.62300200054972</v>
      </c>
      <c r="E1373" s="243">
        <v>362.00820140724119</v>
      </c>
      <c r="F1373" s="243">
        <v>3598546.0475369836</v>
      </c>
      <c r="G1373" s="243" t="s">
        <v>1403</v>
      </c>
      <c r="H1373" s="151">
        <f t="shared" si="45"/>
        <v>2.186532004060604E-3</v>
      </c>
      <c r="J1373" s="147">
        <v>256.66000000000003</v>
      </c>
      <c r="K1373" s="147">
        <v>257.26</v>
      </c>
      <c r="L1373" s="147">
        <v>248.64</v>
      </c>
      <c r="M1373" s="147">
        <v>251.5</v>
      </c>
      <c r="N1373" s="147">
        <v>300658</v>
      </c>
      <c r="O1373" s="147" t="s">
        <v>1403</v>
      </c>
      <c r="P1373" s="151">
        <f t="shared" si="46"/>
        <v>2.0516898608349932E-2</v>
      </c>
    </row>
    <row r="1374" spans="2:16" ht="14.25" customHeight="1">
      <c r="B1374" s="243">
        <v>364.184943332042</v>
      </c>
      <c r="C1374" s="243">
        <v>364.90110084842667</v>
      </c>
      <c r="D1374" s="243">
        <v>363.23320768526759</v>
      </c>
      <c r="E1374" s="243">
        <v>364.1566739563952</v>
      </c>
      <c r="F1374" s="243">
        <v>3405654.6279267226</v>
      </c>
      <c r="G1374" s="243" t="s">
        <v>1404</v>
      </c>
      <c r="H1374" s="151">
        <f t="shared" si="45"/>
        <v>7.7629706300985646E-5</v>
      </c>
      <c r="J1374" s="147">
        <v>253.56</v>
      </c>
      <c r="K1374" s="147">
        <v>254.44</v>
      </c>
      <c r="L1374" s="147">
        <v>247.41</v>
      </c>
      <c r="M1374" s="147">
        <v>249.62</v>
      </c>
      <c r="N1374" s="147">
        <v>288116</v>
      </c>
      <c r="O1374" s="147" t="s">
        <v>1404</v>
      </c>
      <c r="P1374" s="151">
        <f t="shared" si="46"/>
        <v>1.5783991667334352E-2</v>
      </c>
    </row>
    <row r="1375" spans="2:16" ht="14.25" customHeight="1">
      <c r="B1375" s="243">
        <v>363.57244019302874</v>
      </c>
      <c r="C1375" s="243">
        <v>366.20149212817779</v>
      </c>
      <c r="D1375" s="243">
        <v>363.1483995583273</v>
      </c>
      <c r="E1375" s="243">
        <v>366.0884146255907</v>
      </c>
      <c r="F1375" s="243">
        <v>4657734.9866258381</v>
      </c>
      <c r="G1375" s="243" t="s">
        <v>1405</v>
      </c>
      <c r="H1375" s="151">
        <f t="shared" si="45"/>
        <v>-6.87258687258685E-3</v>
      </c>
      <c r="J1375" s="147">
        <v>250.61</v>
      </c>
      <c r="K1375" s="147">
        <v>252.09</v>
      </c>
      <c r="L1375" s="147">
        <v>245.66</v>
      </c>
      <c r="M1375" s="147">
        <v>250.46</v>
      </c>
      <c r="N1375" s="147">
        <v>196669</v>
      </c>
      <c r="O1375" s="147" t="s">
        <v>1405</v>
      </c>
      <c r="P1375" s="151">
        <f t="shared" si="46"/>
        <v>5.988980276292466E-4</v>
      </c>
    </row>
    <row r="1376" spans="2:16" ht="14.25" customHeight="1">
      <c r="B1376" s="243">
        <v>363.85513394949641</v>
      </c>
      <c r="C1376" s="243">
        <v>364.92937022407341</v>
      </c>
      <c r="D1376" s="243">
        <v>363.67609457040021</v>
      </c>
      <c r="E1376" s="243">
        <v>364.70321521889929</v>
      </c>
      <c r="F1376" s="243">
        <v>3577493.584000594</v>
      </c>
      <c r="G1376" s="243" t="s">
        <v>1406</v>
      </c>
      <c r="H1376" s="151">
        <f t="shared" si="45"/>
        <v>-2.325401131695104E-3</v>
      </c>
      <c r="J1376" s="147">
        <v>249.11</v>
      </c>
      <c r="K1376" s="147">
        <v>254.79</v>
      </c>
      <c r="L1376" s="147">
        <v>247.9</v>
      </c>
      <c r="M1376" s="147">
        <v>251.7</v>
      </c>
      <c r="N1376" s="147">
        <v>361583</v>
      </c>
      <c r="O1376" s="147" t="s">
        <v>1406</v>
      </c>
      <c r="P1376" s="151">
        <f t="shared" si="46"/>
        <v>-1.0290027810885838E-2</v>
      </c>
    </row>
    <row r="1377" spans="2:16" ht="14.25" customHeight="1">
      <c r="B1377" s="243">
        <v>363.1483995583273</v>
      </c>
      <c r="C1377" s="243">
        <v>364.46763708850955</v>
      </c>
      <c r="D1377" s="243">
        <v>363.09186080703375</v>
      </c>
      <c r="E1377" s="243">
        <v>363.99798852776473</v>
      </c>
      <c r="F1377" s="243">
        <v>3200492.3324282034</v>
      </c>
      <c r="G1377" s="243" t="s">
        <v>1407</v>
      </c>
      <c r="H1377" s="151">
        <f t="shared" si="45"/>
        <v>-2.3340485283276369E-3</v>
      </c>
      <c r="J1377" s="147">
        <v>248.49</v>
      </c>
      <c r="K1377" s="147">
        <v>249.75</v>
      </c>
      <c r="L1377" s="147">
        <v>242.67</v>
      </c>
      <c r="M1377" s="147">
        <v>248.14</v>
      </c>
      <c r="N1377" s="147">
        <v>261086</v>
      </c>
      <c r="O1377" s="147" t="s">
        <v>1407</v>
      </c>
      <c r="P1377" s="151">
        <f t="shared" si="46"/>
        <v>1.4104940759249729E-3</v>
      </c>
    </row>
    <row r="1378" spans="2:16" ht="14.25" customHeight="1">
      <c r="B1378" s="243">
        <v>362.98820642966228</v>
      </c>
      <c r="C1378" s="243">
        <v>363.49705519130407</v>
      </c>
      <c r="D1378" s="243">
        <v>361.91397015508528</v>
      </c>
      <c r="E1378" s="243">
        <v>362.8751289270752</v>
      </c>
      <c r="F1378" s="243">
        <v>2804488.8925262131</v>
      </c>
      <c r="G1378" s="243" t="s">
        <v>1408</v>
      </c>
      <c r="H1378" s="151">
        <f t="shared" si="45"/>
        <v>3.1161546651437E-4</v>
      </c>
      <c r="J1378" s="147">
        <v>247.26</v>
      </c>
      <c r="K1378" s="147">
        <v>254.43</v>
      </c>
      <c r="L1378" s="147">
        <v>246.59</v>
      </c>
      <c r="M1378" s="147">
        <v>249.99</v>
      </c>
      <c r="N1378" s="147">
        <v>868736</v>
      </c>
      <c r="O1378" s="147" t="s">
        <v>1408</v>
      </c>
      <c r="P1378" s="151">
        <f t="shared" si="46"/>
        <v>-1.0920436817472789E-2</v>
      </c>
    </row>
    <row r="1379" spans="2:16" ht="14.25" customHeight="1">
      <c r="B1379" s="243">
        <v>362.32858766457116</v>
      </c>
      <c r="C1379" s="243">
        <v>364.44879083807842</v>
      </c>
      <c r="D1379" s="243">
        <v>361.79146952728263</v>
      </c>
      <c r="E1379" s="243">
        <v>364.10955833031721</v>
      </c>
      <c r="F1379" s="243">
        <v>4278630.3988941004</v>
      </c>
      <c r="G1379" s="243" t="s">
        <v>1409</v>
      </c>
      <c r="H1379" s="151">
        <f t="shared" si="45"/>
        <v>-4.8913043478259199E-3</v>
      </c>
      <c r="J1379" s="147">
        <v>250.05</v>
      </c>
      <c r="K1379" s="147">
        <v>251.8</v>
      </c>
      <c r="L1379" s="147">
        <v>246</v>
      </c>
      <c r="M1379" s="147">
        <v>247.87</v>
      </c>
      <c r="N1379" s="147">
        <v>793170</v>
      </c>
      <c r="O1379" s="147" t="s">
        <v>1409</v>
      </c>
      <c r="P1379" s="151">
        <f t="shared" si="46"/>
        <v>8.7949328276919481E-3</v>
      </c>
    </row>
    <row r="1380" spans="2:16" ht="14.25" customHeight="1">
      <c r="B1380" s="243">
        <v>363.09186080703375</v>
      </c>
      <c r="C1380" s="243">
        <v>364.10955833031721</v>
      </c>
      <c r="D1380" s="243">
        <v>361.32031326650321</v>
      </c>
      <c r="E1380" s="243">
        <v>361.55589139689295</v>
      </c>
      <c r="F1380" s="243">
        <v>3143811.5616881028</v>
      </c>
      <c r="G1380" s="243" t="s">
        <v>1410</v>
      </c>
      <c r="H1380" s="151">
        <f t="shared" si="45"/>
        <v>4.2482212202559211E-3</v>
      </c>
      <c r="J1380" s="147">
        <v>246.83</v>
      </c>
      <c r="K1380" s="147">
        <v>256.54000000000002</v>
      </c>
      <c r="L1380" s="147">
        <v>245.79</v>
      </c>
      <c r="M1380" s="147">
        <v>256.43</v>
      </c>
      <c r="N1380" s="147">
        <v>241809</v>
      </c>
      <c r="O1380" s="147" t="s">
        <v>1410</v>
      </c>
      <c r="P1380" s="151">
        <f t="shared" si="46"/>
        <v>-3.7437117341964643E-2</v>
      </c>
    </row>
    <row r="1381" spans="2:16" ht="14.25" customHeight="1">
      <c r="B1381" s="243">
        <v>359.46395759903243</v>
      </c>
      <c r="C1381" s="243">
        <v>362.27204891327762</v>
      </c>
      <c r="D1381" s="243">
        <v>359.03049383911537</v>
      </c>
      <c r="E1381" s="243">
        <v>361.12242763697589</v>
      </c>
      <c r="F1381" s="243">
        <v>3785849.0876239748</v>
      </c>
      <c r="G1381" s="243" t="s">
        <v>1411</v>
      </c>
      <c r="H1381" s="151">
        <f t="shared" si="45"/>
        <v>-4.5925423374996166E-3</v>
      </c>
      <c r="J1381" s="147">
        <v>255.16</v>
      </c>
      <c r="K1381" s="147">
        <v>262.9683</v>
      </c>
      <c r="L1381" s="147">
        <v>252.42</v>
      </c>
      <c r="M1381" s="147">
        <v>254.49</v>
      </c>
      <c r="N1381" s="147">
        <v>323660</v>
      </c>
      <c r="O1381" s="147" t="s">
        <v>1411</v>
      </c>
      <c r="P1381" s="151">
        <f t="shared" si="46"/>
        <v>2.6327164132184944E-3</v>
      </c>
    </row>
    <row r="1382" spans="2:16" ht="14.25" customHeight="1">
      <c r="B1382" s="243">
        <v>359.73722823028447</v>
      </c>
      <c r="C1382" s="243">
        <v>360.89627263180176</v>
      </c>
      <c r="D1382" s="243">
        <v>356.61817378392487</v>
      </c>
      <c r="E1382" s="243">
        <v>356.73125128651191</v>
      </c>
      <c r="F1382" s="243">
        <v>5069139.8986169314</v>
      </c>
      <c r="G1382" s="243" t="s">
        <v>1412</v>
      </c>
      <c r="H1382" s="151">
        <f t="shared" si="45"/>
        <v>8.4264468922525815E-3</v>
      </c>
      <c r="J1382" s="147">
        <v>252.16</v>
      </c>
      <c r="K1382" s="147">
        <v>254.57</v>
      </c>
      <c r="L1382" s="147">
        <v>245.7</v>
      </c>
      <c r="M1382" s="147">
        <v>246.12</v>
      </c>
      <c r="N1382" s="147">
        <v>181472</v>
      </c>
      <c r="O1382" s="147" t="s">
        <v>1412</v>
      </c>
      <c r="P1382" s="151">
        <f t="shared" si="46"/>
        <v>2.4540874370225785E-2</v>
      </c>
    </row>
    <row r="1383" spans="2:16" ht="14.25" customHeight="1">
      <c r="B1383" s="243">
        <v>355.93970876840257</v>
      </c>
      <c r="C1383" s="243">
        <v>356.04336314577398</v>
      </c>
      <c r="D1383" s="243">
        <v>351.12449178323709</v>
      </c>
      <c r="E1383" s="243">
        <v>352.48142181428176</v>
      </c>
      <c r="F1383" s="243">
        <v>5397646.6232096665</v>
      </c>
      <c r="G1383" s="243" t="s">
        <v>1413</v>
      </c>
      <c r="H1383" s="151">
        <f t="shared" si="45"/>
        <v>9.81126022563239E-3</v>
      </c>
      <c r="J1383" s="147">
        <v>245.63</v>
      </c>
      <c r="K1383" s="147">
        <v>245.84</v>
      </c>
      <c r="L1383" s="147">
        <v>238.33</v>
      </c>
      <c r="M1383" s="147">
        <v>242.74</v>
      </c>
      <c r="N1383" s="147">
        <v>229022</v>
      </c>
      <c r="O1383" s="147" t="s">
        <v>1413</v>
      </c>
      <c r="P1383" s="151">
        <f t="shared" si="46"/>
        <v>1.1905742770041972E-2</v>
      </c>
    </row>
    <row r="1384" spans="2:16" ht="14.25" customHeight="1">
      <c r="B1384" s="243">
        <v>356.88202128996136</v>
      </c>
      <c r="C1384" s="243">
        <v>360.40627012059122</v>
      </c>
      <c r="D1384" s="243">
        <v>356.70298191086516</v>
      </c>
      <c r="E1384" s="243">
        <v>360.19896136584828</v>
      </c>
      <c r="F1384" s="243">
        <v>3319822.1698519802</v>
      </c>
      <c r="G1384" s="243" t="s">
        <v>1414</v>
      </c>
      <c r="H1384" s="151">
        <f t="shared" si="45"/>
        <v>-9.2086330935250427E-3</v>
      </c>
      <c r="J1384" s="147">
        <v>250.06</v>
      </c>
      <c r="K1384" s="147">
        <v>252.28</v>
      </c>
      <c r="L1384" s="147">
        <v>235.2</v>
      </c>
      <c r="M1384" s="147">
        <v>235.73</v>
      </c>
      <c r="N1384" s="147">
        <v>424411</v>
      </c>
      <c r="O1384" s="147" t="s">
        <v>1414</v>
      </c>
      <c r="P1384" s="151">
        <f t="shared" si="46"/>
        <v>6.0789886734823773E-2</v>
      </c>
    </row>
    <row r="1385" spans="2:16" ht="14.25" customHeight="1">
      <c r="B1385" s="243">
        <v>359.99165261110534</v>
      </c>
      <c r="C1385" s="243">
        <v>360.67011762662764</v>
      </c>
      <c r="D1385" s="243">
        <v>358.07875819234101</v>
      </c>
      <c r="E1385" s="243">
        <v>359.86915198330269</v>
      </c>
      <c r="F1385" s="243">
        <v>4013092.1679194327</v>
      </c>
      <c r="G1385" s="243" t="s">
        <v>1415</v>
      </c>
      <c r="H1385" s="151">
        <f t="shared" si="45"/>
        <v>3.4040324692319324E-4</v>
      </c>
      <c r="J1385" s="147">
        <v>235</v>
      </c>
      <c r="K1385" s="147">
        <v>243.54</v>
      </c>
      <c r="L1385" s="147">
        <v>232.29499999999999</v>
      </c>
      <c r="M1385" s="147">
        <v>240.33</v>
      </c>
      <c r="N1385" s="147">
        <v>314267</v>
      </c>
      <c r="O1385" s="147" t="s">
        <v>1415</v>
      </c>
      <c r="P1385" s="151">
        <f t="shared" si="46"/>
        <v>-2.2177838804976591E-2</v>
      </c>
    </row>
    <row r="1386" spans="2:16" ht="14.25" customHeight="1">
      <c r="B1386" s="243">
        <v>360.8585801309394</v>
      </c>
      <c r="C1386" s="243">
        <v>361.65012264904885</v>
      </c>
      <c r="D1386" s="243">
        <v>357.89971881324482</v>
      </c>
      <c r="E1386" s="243">
        <v>357.89971881324482</v>
      </c>
      <c r="F1386" s="243">
        <v>5484294.0975156799</v>
      </c>
      <c r="G1386" s="243" t="s">
        <v>1416</v>
      </c>
      <c r="H1386" s="151">
        <f t="shared" si="45"/>
        <v>8.2672915405070935E-3</v>
      </c>
      <c r="J1386" s="147">
        <v>240.54</v>
      </c>
      <c r="K1386" s="147">
        <v>245</v>
      </c>
      <c r="L1386" s="147">
        <v>239.15</v>
      </c>
      <c r="M1386" s="147">
        <v>242.45</v>
      </c>
      <c r="N1386" s="147">
        <v>330058</v>
      </c>
      <c r="O1386" s="147" t="s">
        <v>1416</v>
      </c>
      <c r="P1386" s="151">
        <f t="shared" si="46"/>
        <v>-7.8779129717467811E-3</v>
      </c>
    </row>
    <row r="1387" spans="2:16" ht="14.25" customHeight="1">
      <c r="B1387" s="243">
        <v>355.40259063111404</v>
      </c>
      <c r="C1387" s="243">
        <v>357.18356129686015</v>
      </c>
      <c r="D1387" s="243">
        <v>352.58507619165323</v>
      </c>
      <c r="E1387" s="243">
        <v>352.62276869251559</v>
      </c>
      <c r="F1387" s="243">
        <v>7628245.232387607</v>
      </c>
      <c r="G1387" s="243" t="s">
        <v>1417</v>
      </c>
      <c r="H1387" s="151">
        <f t="shared" si="45"/>
        <v>7.8832740974319471E-3</v>
      </c>
      <c r="J1387" s="147">
        <v>240.8</v>
      </c>
      <c r="K1387" s="147">
        <v>253.155</v>
      </c>
      <c r="L1387" s="147">
        <v>239.28</v>
      </c>
      <c r="M1387" s="147">
        <v>250.65</v>
      </c>
      <c r="N1387" s="147">
        <v>347951</v>
      </c>
      <c r="O1387" s="147" t="s">
        <v>1417</v>
      </c>
      <c r="P1387" s="151">
        <f t="shared" si="46"/>
        <v>-3.9297825653301421E-2</v>
      </c>
    </row>
    <row r="1388" spans="2:16" ht="14.25" customHeight="1">
      <c r="B1388" s="243">
        <v>351.22814616060862</v>
      </c>
      <c r="C1388" s="243">
        <v>357.39087005160303</v>
      </c>
      <c r="D1388" s="243">
        <v>350.66275864767329</v>
      </c>
      <c r="E1388" s="243">
        <v>356.2318256500858</v>
      </c>
      <c r="F1388" s="243">
        <v>8179283.2246887665</v>
      </c>
      <c r="G1388" s="243" t="s">
        <v>1418</v>
      </c>
      <c r="H1388" s="151">
        <f t="shared" si="45"/>
        <v>-1.4046132684372048E-2</v>
      </c>
      <c r="J1388" s="147">
        <v>247.81</v>
      </c>
      <c r="K1388" s="147">
        <v>265.29000000000002</v>
      </c>
      <c r="L1388" s="147">
        <v>247.73</v>
      </c>
      <c r="M1388" s="147">
        <v>260</v>
      </c>
      <c r="N1388" s="147">
        <v>388742</v>
      </c>
      <c r="O1388" s="147" t="s">
        <v>1418</v>
      </c>
      <c r="P1388" s="151">
        <f t="shared" si="46"/>
        <v>-4.6884615384615413E-2</v>
      </c>
    </row>
    <row r="1389" spans="2:16" ht="14.25" customHeight="1">
      <c r="B1389" s="243">
        <v>358.88914696088159</v>
      </c>
      <c r="C1389" s="243">
        <v>359.71838197985329</v>
      </c>
      <c r="D1389" s="243">
        <v>355.20470500158666</v>
      </c>
      <c r="E1389" s="243">
        <v>357.84318006195127</v>
      </c>
      <c r="F1389" s="243">
        <v>7515023.7718221555</v>
      </c>
      <c r="G1389" s="243" t="s">
        <v>1419</v>
      </c>
      <c r="H1389" s="151">
        <f t="shared" si="45"/>
        <v>2.9229756418698294E-3</v>
      </c>
      <c r="J1389" s="147">
        <v>264.74</v>
      </c>
      <c r="K1389" s="147">
        <v>273.68</v>
      </c>
      <c r="L1389" s="147">
        <v>257.70999999999998</v>
      </c>
      <c r="M1389" s="147">
        <v>258.01</v>
      </c>
      <c r="N1389" s="147">
        <v>297433</v>
      </c>
      <c r="O1389" s="147" t="s">
        <v>1419</v>
      </c>
      <c r="P1389" s="151">
        <f t="shared" si="46"/>
        <v>2.6084260299988449E-2</v>
      </c>
    </row>
    <row r="1390" spans="2:16" ht="14.25" customHeight="1">
      <c r="B1390" s="243">
        <v>362.06474015853468</v>
      </c>
      <c r="C1390" s="243">
        <v>366.23918462904015</v>
      </c>
      <c r="D1390" s="243">
        <v>361.93281640551641</v>
      </c>
      <c r="E1390" s="243">
        <v>366.00360649865047</v>
      </c>
      <c r="F1390" s="243">
        <v>6306503.2715149242</v>
      </c>
      <c r="G1390" s="243" t="s">
        <v>1420</v>
      </c>
      <c r="H1390" s="151">
        <f t="shared" si="45"/>
        <v>-1.0761823845936158E-2</v>
      </c>
      <c r="J1390" s="147">
        <v>263.37</v>
      </c>
      <c r="K1390" s="147">
        <v>269.83999999999997</v>
      </c>
      <c r="L1390" s="147">
        <v>263.28500000000003</v>
      </c>
      <c r="M1390" s="147">
        <v>269.8</v>
      </c>
      <c r="N1390" s="147">
        <v>226041</v>
      </c>
      <c r="O1390" s="147" t="s">
        <v>1420</v>
      </c>
      <c r="P1390" s="151">
        <f t="shared" si="46"/>
        <v>-2.3832468495181613E-2</v>
      </c>
    </row>
    <row r="1391" spans="2:16" ht="14.25" customHeight="1">
      <c r="B1391" s="243">
        <v>365.64552774045808</v>
      </c>
      <c r="C1391" s="243">
        <v>366.25803087947133</v>
      </c>
      <c r="D1391" s="243">
        <v>363.10128393224932</v>
      </c>
      <c r="E1391" s="243">
        <v>363.75147957212488</v>
      </c>
      <c r="F1391" s="243">
        <v>3731904.1395976967</v>
      </c>
      <c r="G1391" s="243" t="s">
        <v>1421</v>
      </c>
      <c r="H1391" s="151">
        <f t="shared" si="45"/>
        <v>5.2069840940884848E-3</v>
      </c>
      <c r="J1391" s="147">
        <v>271.43</v>
      </c>
      <c r="K1391" s="147">
        <v>280</v>
      </c>
      <c r="L1391" s="147">
        <v>268.85449999999997</v>
      </c>
      <c r="M1391" s="147">
        <v>274.02999999999997</v>
      </c>
      <c r="N1391" s="147">
        <v>189463</v>
      </c>
      <c r="O1391" s="147" t="s">
        <v>1421</v>
      </c>
      <c r="P1391" s="151">
        <f t="shared" si="46"/>
        <v>-9.4880122614311446E-3</v>
      </c>
    </row>
    <row r="1392" spans="2:16" ht="14.25" customHeight="1">
      <c r="B1392" s="243">
        <v>363.05416830617139</v>
      </c>
      <c r="C1392" s="243">
        <v>363.13897643311174</v>
      </c>
      <c r="D1392" s="243">
        <v>358.33318257316182</v>
      </c>
      <c r="E1392" s="243">
        <v>360.20838449106384</v>
      </c>
      <c r="F1392" s="243">
        <v>5027301.3375259861</v>
      </c>
      <c r="G1392" s="243" t="s">
        <v>1422</v>
      </c>
      <c r="H1392" s="151">
        <f t="shared" si="45"/>
        <v>7.9003819389944496E-3</v>
      </c>
      <c r="J1392" s="147">
        <v>274.63</v>
      </c>
      <c r="K1392" s="147">
        <v>275.98</v>
      </c>
      <c r="L1392" s="147">
        <v>265.62</v>
      </c>
      <c r="M1392" s="147">
        <v>271.62</v>
      </c>
      <c r="N1392" s="147">
        <v>288242</v>
      </c>
      <c r="O1392" s="147" t="s">
        <v>1422</v>
      </c>
      <c r="P1392" s="151">
        <f t="shared" si="46"/>
        <v>1.1081658198954347E-2</v>
      </c>
    </row>
    <row r="1393" spans="2:16" ht="14.25" customHeight="1">
      <c r="B1393" s="243">
        <v>360.12357636412361</v>
      </c>
      <c r="C1393" s="243">
        <v>361.76320015163589</v>
      </c>
      <c r="D1393" s="243">
        <v>359.43568822338563</v>
      </c>
      <c r="E1393" s="243">
        <v>361.58416077253975</v>
      </c>
      <c r="F1393" s="243">
        <v>4680677.4812922971</v>
      </c>
      <c r="G1393" s="243" t="s">
        <v>1423</v>
      </c>
      <c r="H1393" s="151">
        <f t="shared" si="45"/>
        <v>-4.0394037318878251E-3</v>
      </c>
      <c r="J1393" s="147">
        <v>273.41000000000003</v>
      </c>
      <c r="K1393" s="147">
        <v>296.64999999999998</v>
      </c>
      <c r="L1393" s="147">
        <v>269.02</v>
      </c>
      <c r="M1393" s="147">
        <v>315</v>
      </c>
      <c r="N1393" s="147">
        <v>503798</v>
      </c>
      <c r="O1393" s="147" t="s">
        <v>1423</v>
      </c>
      <c r="P1393" s="151">
        <f t="shared" si="46"/>
        <v>-0.13203174603174594</v>
      </c>
    </row>
    <row r="1394" spans="2:16" ht="14.25" customHeight="1">
      <c r="B1394" s="243">
        <v>360.0576144876145</v>
      </c>
      <c r="C1394" s="243">
        <v>360.86800325615502</v>
      </c>
      <c r="D1394" s="243">
        <v>356.61817378392487</v>
      </c>
      <c r="E1394" s="243">
        <v>360.45338574666914</v>
      </c>
      <c r="F1394" s="243">
        <v>5821472.0429752283</v>
      </c>
      <c r="G1394" s="243" t="s">
        <v>1424</v>
      </c>
      <c r="H1394" s="151">
        <f t="shared" si="45"/>
        <v>-1.0979818048727497E-3</v>
      </c>
      <c r="J1394" s="147">
        <v>288.93</v>
      </c>
      <c r="K1394" s="147">
        <v>295.04000000000002</v>
      </c>
      <c r="L1394" s="147">
        <v>284.39</v>
      </c>
      <c r="M1394" s="147">
        <v>294.76</v>
      </c>
      <c r="N1394" s="147">
        <v>264477</v>
      </c>
      <c r="O1394" s="147" t="s">
        <v>1424</v>
      </c>
      <c r="P1394" s="151">
        <f t="shared" si="46"/>
        <v>-1.9778803094042563E-2</v>
      </c>
    </row>
    <row r="1395" spans="2:16" ht="14.25" customHeight="1">
      <c r="B1395" s="243">
        <v>362.26262578806205</v>
      </c>
      <c r="C1395" s="243">
        <v>363.67609457040021</v>
      </c>
      <c r="D1395" s="243">
        <v>361.81031577771381</v>
      </c>
      <c r="E1395" s="243">
        <v>363.31801581220788</v>
      </c>
      <c r="F1395" s="243">
        <v>4436757.3436082732</v>
      </c>
      <c r="G1395" s="243" t="s">
        <v>1425</v>
      </c>
      <c r="H1395" s="151">
        <f t="shared" si="45"/>
        <v>-2.9048656499636172E-3</v>
      </c>
      <c r="J1395" s="147">
        <v>298.10000000000002</v>
      </c>
      <c r="K1395" s="147">
        <v>306.32</v>
      </c>
      <c r="L1395" s="147">
        <v>294.57150000000001</v>
      </c>
      <c r="M1395" s="147">
        <v>306.32</v>
      </c>
      <c r="N1395" s="147">
        <v>235864</v>
      </c>
      <c r="O1395" s="147" t="s">
        <v>1425</v>
      </c>
      <c r="P1395" s="151">
        <f t="shared" si="46"/>
        <v>-2.6834682684773958E-2</v>
      </c>
    </row>
    <row r="1396" spans="2:16" ht="14.25" customHeight="1">
      <c r="B1396" s="243">
        <v>361.44281389430586</v>
      </c>
      <c r="C1396" s="243">
        <v>362.56416579496084</v>
      </c>
      <c r="D1396" s="243">
        <v>360.65127137619652</v>
      </c>
      <c r="E1396" s="243">
        <v>361.76320015163589</v>
      </c>
      <c r="F1396" s="243">
        <v>5538720.8389911726</v>
      </c>
      <c r="G1396" s="243" t="s">
        <v>1426</v>
      </c>
      <c r="H1396" s="151">
        <f t="shared" si="45"/>
        <v>-8.8562423484683794E-4</v>
      </c>
      <c r="J1396" s="147">
        <v>305.99</v>
      </c>
      <c r="K1396" s="147">
        <v>309.32</v>
      </c>
      <c r="L1396" s="147">
        <v>303.15499999999997</v>
      </c>
      <c r="M1396" s="147">
        <v>309.32</v>
      </c>
      <c r="N1396" s="147">
        <v>246549</v>
      </c>
      <c r="O1396" s="147" t="s">
        <v>1426</v>
      </c>
      <c r="P1396" s="151">
        <f t="shared" si="46"/>
        <v>-1.0765550239234423E-2</v>
      </c>
    </row>
  </sheetData>
  <sortState xmlns:xlrd2="http://schemas.microsoft.com/office/spreadsheetml/2017/richdata2" ref="R245:R305">
    <sortCondition ref="R245"/>
  </sortState>
  <mergeCells count="6">
    <mergeCell ref="AS84:BK85"/>
    <mergeCell ref="AQ403:BU404"/>
    <mergeCell ref="AQ208:BW210"/>
    <mergeCell ref="AQ214:BW215"/>
    <mergeCell ref="AQ216:BW217"/>
    <mergeCell ref="AT147:BX149"/>
  </mergeCells>
  <hyperlinks>
    <hyperlink ref="AP19" r:id="rId1" xr:uid="{BA20364F-8C21-45B3-BE86-C96BB14AC851}"/>
    <hyperlink ref="AQ20" r:id="rId2" xr:uid="{D840E673-93AF-411E-A768-553080F69D7C}"/>
    <hyperlink ref="AQ21" r:id="rId3" xr:uid="{1FC6A62E-0703-4106-A5B2-E8D578E6B75D}"/>
    <hyperlink ref="AP25" r:id="rId4" xr:uid="{43C6C237-A37B-4BE9-9093-97315E23C080}"/>
    <hyperlink ref="AP23" r:id="rId5" xr:uid="{F17B1076-F6D3-463D-A0F1-B0120B83CB80}"/>
    <hyperlink ref="AQ24" r:id="rId6" xr:uid="{3A661116-CA91-436A-86EF-12006175AB44}"/>
    <hyperlink ref="AQ26" r:id="rId7" xr:uid="{F84CA94A-7E36-4063-8C47-5FC91EE90384}"/>
    <hyperlink ref="AP27" r:id="rId8" xr:uid="{CC98AB9B-F87A-4400-AAA9-379D6F93F01D}"/>
    <hyperlink ref="BO71" r:id="rId9" xr:uid="{B1E486E1-C809-4B7D-A910-52B8D9B5FE75}"/>
    <hyperlink ref="BT70" r:id="rId10" xr:uid="{28C3D98A-9098-4F98-9632-F90E7F55895C}"/>
  </hyperlink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48B8-C1DC-475F-B824-D0955DC9E3BC}">
  <sheetPr>
    <tabColor rgb="FFFF99FF"/>
  </sheetPr>
  <dimension ref="B1:BB77"/>
  <sheetViews>
    <sheetView zoomScale="70" zoomScaleNormal="70" workbookViewId="0">
      <selection activeCell="F8" sqref="F8"/>
    </sheetView>
  </sheetViews>
  <sheetFormatPr defaultColWidth="9.140625" defaultRowHeight="14.25"/>
  <cols>
    <col min="1" max="1" width="3" style="2" customWidth="1"/>
    <col min="2" max="2" width="22.42578125" style="2" customWidth="1"/>
    <col min="3" max="5" width="9.140625" style="2"/>
    <col min="6" max="6" width="10.85546875" style="2" customWidth="1"/>
    <col min="7" max="11" width="9.140625" style="2"/>
    <col min="12" max="12" width="9" style="2" customWidth="1"/>
    <col min="13" max="25" width="9.140625" style="2"/>
    <col min="26" max="26" width="3.42578125" style="2" customWidth="1"/>
    <col min="27" max="16384" width="9.140625" style="2"/>
  </cols>
  <sheetData>
    <row r="1" spans="2:54">
      <c r="BB1" s="2">
        <v>0</v>
      </c>
    </row>
    <row r="2" spans="2:54" ht="15">
      <c r="B2" s="1" t="s">
        <v>652</v>
      </c>
      <c r="C2" s="167" t="s">
        <v>1983</v>
      </c>
      <c r="AA2" s="1" t="s">
        <v>1512</v>
      </c>
    </row>
    <row r="3" spans="2:54" ht="15">
      <c r="B3" s="73"/>
      <c r="C3" s="8" t="s">
        <v>369</v>
      </c>
      <c r="D3" s="71"/>
      <c r="E3" s="72"/>
      <c r="F3" s="286" t="s">
        <v>371</v>
      </c>
      <c r="G3" s="287"/>
      <c r="H3" s="287"/>
      <c r="I3" s="287"/>
      <c r="J3" s="287"/>
      <c r="K3" s="288"/>
      <c r="AA3" s="2" t="s">
        <v>2016</v>
      </c>
    </row>
    <row r="4" spans="2:54">
      <c r="B4" s="168"/>
      <c r="C4" s="169"/>
      <c r="D4" s="170"/>
      <c r="E4" s="170"/>
      <c r="F4" s="171" t="s">
        <v>372</v>
      </c>
      <c r="G4" s="172"/>
      <c r="H4" s="173"/>
      <c r="I4" s="173"/>
      <c r="J4" s="173"/>
      <c r="K4" s="174"/>
    </row>
    <row r="5" spans="2:54" ht="15">
      <c r="B5" s="168"/>
      <c r="C5" s="175"/>
      <c r="D5" s="176" t="s">
        <v>399</v>
      </c>
      <c r="E5" s="170"/>
      <c r="F5" s="177" t="s">
        <v>375</v>
      </c>
      <c r="G5" s="178"/>
      <c r="H5" s="170"/>
      <c r="I5" s="170"/>
      <c r="J5" s="170"/>
      <c r="K5" s="179"/>
    </row>
    <row r="6" spans="2:54">
      <c r="B6" s="168"/>
      <c r="C6" s="169"/>
      <c r="D6" s="180"/>
      <c r="E6" s="170"/>
      <c r="F6" s="177" t="s">
        <v>373</v>
      </c>
      <c r="G6" s="178"/>
      <c r="H6" s="170"/>
      <c r="I6" s="170"/>
      <c r="J6" s="170"/>
      <c r="K6" s="179"/>
    </row>
    <row r="7" spans="2:54" ht="15">
      <c r="B7" s="84" t="s">
        <v>274</v>
      </c>
      <c r="C7" s="181"/>
      <c r="D7" s="182"/>
      <c r="E7" s="183"/>
      <c r="F7" s="177" t="s">
        <v>374</v>
      </c>
      <c r="G7" s="184"/>
      <c r="H7" s="183"/>
      <c r="I7" s="183"/>
      <c r="J7" s="183"/>
      <c r="K7" s="185"/>
    </row>
    <row r="8" spans="2:54">
      <c r="B8" s="168"/>
      <c r="C8" s="186"/>
      <c r="D8" s="187"/>
      <c r="E8" s="174"/>
      <c r="F8" s="171" t="s">
        <v>376</v>
      </c>
      <c r="G8" s="172"/>
      <c r="H8" s="172"/>
      <c r="I8" s="173"/>
      <c r="J8" s="173"/>
      <c r="K8" s="174"/>
    </row>
    <row r="9" spans="2:54" ht="15">
      <c r="B9" s="168"/>
      <c r="C9" s="175"/>
      <c r="D9" s="176" t="s">
        <v>400</v>
      </c>
      <c r="E9" s="179"/>
      <c r="F9" s="177" t="s">
        <v>2175</v>
      </c>
      <c r="G9" s="178"/>
      <c r="H9" s="178"/>
      <c r="I9" s="170"/>
      <c r="J9" s="170"/>
      <c r="K9" s="179"/>
    </row>
    <row r="10" spans="2:54">
      <c r="B10" s="168"/>
      <c r="C10" s="169"/>
      <c r="D10" s="180"/>
      <c r="E10" s="179"/>
      <c r="F10" s="177" t="s">
        <v>378</v>
      </c>
      <c r="G10" s="178"/>
      <c r="H10" s="178"/>
      <c r="I10" s="170"/>
      <c r="J10" s="170"/>
      <c r="K10" s="179"/>
    </row>
    <row r="11" spans="2:54">
      <c r="B11" s="168"/>
      <c r="C11" s="181"/>
      <c r="D11" s="182"/>
      <c r="E11" s="185"/>
      <c r="F11" s="188" t="s">
        <v>379</v>
      </c>
      <c r="G11" s="184"/>
      <c r="H11" s="184"/>
      <c r="I11" s="183"/>
      <c r="J11" s="183"/>
      <c r="K11" s="185"/>
    </row>
    <row r="12" spans="2:54">
      <c r="B12" s="189"/>
      <c r="C12" s="186"/>
      <c r="D12" s="187"/>
      <c r="E12" s="174"/>
      <c r="F12" s="171" t="s">
        <v>380</v>
      </c>
      <c r="G12" s="172"/>
      <c r="H12" s="173"/>
      <c r="I12" s="173"/>
      <c r="J12" s="173"/>
      <c r="K12" s="174"/>
    </row>
    <row r="13" spans="2:54">
      <c r="B13" s="190"/>
      <c r="C13" s="169"/>
      <c r="D13" s="180"/>
      <c r="E13" s="179"/>
      <c r="F13" s="177" t="s">
        <v>381</v>
      </c>
      <c r="G13" s="178"/>
      <c r="H13" s="170"/>
      <c r="I13" s="170"/>
      <c r="J13" s="170"/>
      <c r="K13" s="179"/>
    </row>
    <row r="14" spans="2:54" ht="15">
      <c r="B14" s="190"/>
      <c r="C14" s="191"/>
      <c r="D14" s="176" t="s">
        <v>401</v>
      </c>
      <c r="E14" s="192"/>
      <c r="F14" s="177" t="s">
        <v>382</v>
      </c>
      <c r="G14" s="178"/>
      <c r="H14" s="170"/>
      <c r="I14" s="170"/>
      <c r="J14" s="170"/>
      <c r="K14" s="179"/>
    </row>
    <row r="15" spans="2:54" ht="15">
      <c r="B15" s="190"/>
      <c r="C15" s="191"/>
      <c r="D15" s="176" t="s">
        <v>402</v>
      </c>
      <c r="E15" s="192"/>
      <c r="F15" s="177" t="s">
        <v>383</v>
      </c>
      <c r="G15" s="178"/>
      <c r="H15" s="170"/>
      <c r="I15" s="170"/>
      <c r="J15" s="170"/>
      <c r="K15" s="179"/>
    </row>
    <row r="16" spans="2:54">
      <c r="B16" s="190"/>
      <c r="C16" s="169"/>
      <c r="D16" s="180"/>
      <c r="E16" s="193"/>
      <c r="F16" s="177" t="s">
        <v>384</v>
      </c>
      <c r="G16" s="178"/>
      <c r="H16" s="170"/>
      <c r="I16" s="170"/>
      <c r="J16" s="170"/>
      <c r="K16" s="179"/>
    </row>
    <row r="17" spans="2:11">
      <c r="B17" s="190"/>
      <c r="C17" s="181"/>
      <c r="D17" s="182"/>
      <c r="E17" s="185"/>
      <c r="F17" s="188" t="s">
        <v>385</v>
      </c>
      <c r="G17" s="184"/>
      <c r="H17" s="183"/>
      <c r="I17" s="183"/>
      <c r="J17" s="183"/>
      <c r="K17" s="185"/>
    </row>
    <row r="18" spans="2:11">
      <c r="B18" s="190"/>
      <c r="C18" s="186"/>
      <c r="D18" s="187"/>
      <c r="E18" s="174"/>
      <c r="F18" s="171" t="s">
        <v>386</v>
      </c>
      <c r="G18" s="172"/>
      <c r="H18" s="173"/>
      <c r="I18" s="173"/>
      <c r="J18" s="173"/>
      <c r="K18" s="174"/>
    </row>
    <row r="19" spans="2:11" ht="15">
      <c r="B19" s="190"/>
      <c r="C19" s="175"/>
      <c r="D19" s="176" t="s">
        <v>400</v>
      </c>
      <c r="E19" s="179"/>
      <c r="F19" s="177" t="s">
        <v>387</v>
      </c>
      <c r="G19" s="178"/>
      <c r="H19" s="170"/>
      <c r="I19" s="170"/>
      <c r="J19" s="170"/>
      <c r="K19" s="179"/>
    </row>
    <row r="20" spans="2:11" ht="15">
      <c r="B20" s="194" t="s">
        <v>429</v>
      </c>
      <c r="C20" s="175"/>
      <c r="D20" s="176" t="s">
        <v>402</v>
      </c>
      <c r="E20" s="179"/>
      <c r="F20" s="177" t="s">
        <v>388</v>
      </c>
      <c r="G20" s="178"/>
      <c r="H20" s="170"/>
      <c r="I20" s="170"/>
      <c r="J20" s="170"/>
      <c r="K20" s="179"/>
    </row>
    <row r="21" spans="2:11" ht="15">
      <c r="B21" s="194" t="s">
        <v>430</v>
      </c>
      <c r="C21" s="169"/>
      <c r="D21" s="180"/>
      <c r="E21" s="179"/>
      <c r="F21" s="177" t="s">
        <v>389</v>
      </c>
      <c r="G21" s="178"/>
      <c r="H21" s="170"/>
      <c r="I21" s="170"/>
      <c r="J21" s="170"/>
      <c r="K21" s="179"/>
    </row>
    <row r="22" spans="2:11">
      <c r="B22" s="190"/>
      <c r="C22" s="181"/>
      <c r="D22" s="182"/>
      <c r="E22" s="185"/>
      <c r="F22" s="188" t="s">
        <v>390</v>
      </c>
      <c r="G22" s="184"/>
      <c r="H22" s="183"/>
      <c r="I22" s="183"/>
      <c r="J22" s="183"/>
      <c r="K22" s="185"/>
    </row>
    <row r="23" spans="2:11">
      <c r="B23" s="190"/>
      <c r="C23" s="186"/>
      <c r="D23" s="187"/>
      <c r="E23" s="174"/>
      <c r="F23" s="171" t="s">
        <v>391</v>
      </c>
      <c r="G23" s="172"/>
      <c r="H23" s="173"/>
      <c r="I23" s="173"/>
      <c r="J23" s="173"/>
      <c r="K23" s="174"/>
    </row>
    <row r="24" spans="2:11">
      <c r="B24" s="190"/>
      <c r="C24" s="169"/>
      <c r="D24" s="180"/>
      <c r="E24" s="179"/>
      <c r="F24" s="177" t="s">
        <v>392</v>
      </c>
      <c r="G24" s="178"/>
      <c r="H24" s="170"/>
      <c r="I24" s="170"/>
      <c r="J24" s="170"/>
      <c r="K24" s="179"/>
    </row>
    <row r="25" spans="2:11">
      <c r="B25" s="190"/>
      <c r="C25" s="169"/>
      <c r="D25" s="180"/>
      <c r="E25" s="179"/>
      <c r="F25" s="177" t="s">
        <v>393</v>
      </c>
      <c r="G25" s="178"/>
      <c r="H25" s="170"/>
      <c r="I25" s="170"/>
      <c r="J25" s="170"/>
      <c r="K25" s="179"/>
    </row>
    <row r="26" spans="2:11" ht="15">
      <c r="B26" s="190"/>
      <c r="C26" s="169"/>
      <c r="D26" s="176" t="s">
        <v>403</v>
      </c>
      <c r="E26" s="179"/>
      <c r="F26" s="177" t="s">
        <v>1984</v>
      </c>
      <c r="G26" s="178"/>
      <c r="H26" s="170"/>
      <c r="I26" s="170"/>
      <c r="J26" s="170"/>
      <c r="K26" s="179"/>
    </row>
    <row r="27" spans="2:11" ht="15">
      <c r="B27" s="190"/>
      <c r="C27" s="175"/>
      <c r="D27" s="176"/>
      <c r="E27" s="179"/>
      <c r="F27" s="177" t="s">
        <v>394</v>
      </c>
      <c r="G27" s="178"/>
      <c r="H27" s="170"/>
      <c r="I27" s="170"/>
      <c r="J27" s="170"/>
      <c r="K27" s="179"/>
    </row>
    <row r="28" spans="2:11">
      <c r="B28" s="190"/>
      <c r="C28" s="169"/>
      <c r="D28" s="180"/>
      <c r="E28" s="179"/>
      <c r="F28" s="177" t="s">
        <v>395</v>
      </c>
      <c r="G28" s="178"/>
      <c r="H28" s="170"/>
      <c r="I28" s="170"/>
      <c r="J28" s="170"/>
      <c r="K28" s="179"/>
    </row>
    <row r="29" spans="2:11">
      <c r="B29" s="190"/>
      <c r="C29" s="169"/>
      <c r="D29" s="180"/>
      <c r="E29" s="179"/>
      <c r="F29" s="177" t="s">
        <v>396</v>
      </c>
      <c r="G29" s="178"/>
      <c r="H29" s="170"/>
      <c r="I29" s="170"/>
      <c r="J29" s="170"/>
      <c r="K29" s="179"/>
    </row>
    <row r="30" spans="2:11">
      <c r="B30" s="190"/>
      <c r="C30" s="181"/>
      <c r="D30" s="182"/>
      <c r="E30" s="185"/>
      <c r="F30" s="188" t="s">
        <v>397</v>
      </c>
      <c r="G30" s="184"/>
      <c r="H30" s="183"/>
      <c r="I30" s="183"/>
      <c r="J30" s="183"/>
      <c r="K30" s="185"/>
    </row>
    <row r="31" spans="2:11" ht="15">
      <c r="B31" s="195"/>
      <c r="C31" s="196"/>
      <c r="D31" s="197" t="s">
        <v>404</v>
      </c>
      <c r="E31" s="185"/>
      <c r="F31" s="198" t="s">
        <v>398</v>
      </c>
      <c r="G31" s="199"/>
      <c r="H31" s="200"/>
      <c r="I31" s="200"/>
      <c r="J31" s="200"/>
      <c r="K31" s="201"/>
    </row>
    <row r="32" spans="2:11" ht="15">
      <c r="F32" s="1" t="s">
        <v>659</v>
      </c>
    </row>
    <row r="34" spans="2:25" ht="15">
      <c r="B34" s="1" t="s">
        <v>1555</v>
      </c>
    </row>
    <row r="35" spans="2:25">
      <c r="B35" s="202" t="s">
        <v>1565</v>
      </c>
    </row>
    <row r="36" spans="2:25">
      <c r="C36" s="2" t="s">
        <v>1556</v>
      </c>
    </row>
    <row r="37" spans="2:25">
      <c r="D37" s="2" t="s">
        <v>1557</v>
      </c>
    </row>
    <row r="38" spans="2:25">
      <c r="C38" s="2" t="s">
        <v>1558</v>
      </c>
    </row>
    <row r="39" spans="2:25">
      <c r="D39" s="2" t="s">
        <v>1559</v>
      </c>
    </row>
    <row r="40" spans="2:25" ht="15" customHeight="1">
      <c r="D40" s="283" t="s">
        <v>1560</v>
      </c>
      <c r="E40" s="283"/>
      <c r="F40" s="283"/>
      <c r="G40" s="283"/>
      <c r="H40" s="283"/>
      <c r="I40" s="283"/>
      <c r="J40" s="283"/>
      <c r="K40" s="283"/>
      <c r="L40" s="283"/>
      <c r="M40" s="283"/>
      <c r="N40" s="283"/>
      <c r="O40" s="283"/>
      <c r="P40" s="283"/>
      <c r="Q40" s="283"/>
      <c r="R40" s="283"/>
      <c r="S40" s="283"/>
      <c r="T40" s="283"/>
      <c r="U40" s="283"/>
      <c r="V40" s="12"/>
      <c r="W40" s="12"/>
      <c r="X40" s="12"/>
      <c r="Y40" s="12"/>
    </row>
    <row r="41" spans="2:25">
      <c r="D41" s="283"/>
      <c r="E41" s="283"/>
      <c r="F41" s="283"/>
      <c r="G41" s="283"/>
      <c r="H41" s="283"/>
      <c r="I41" s="283"/>
      <c r="J41" s="283"/>
      <c r="K41" s="283"/>
      <c r="L41" s="283"/>
      <c r="M41" s="283"/>
      <c r="N41" s="283"/>
      <c r="O41" s="283"/>
      <c r="P41" s="283"/>
      <c r="Q41" s="283"/>
      <c r="R41" s="283"/>
      <c r="S41" s="283"/>
      <c r="T41" s="283"/>
      <c r="U41" s="283"/>
      <c r="V41" s="12"/>
      <c r="W41" s="12"/>
      <c r="X41" s="12"/>
      <c r="Y41" s="12"/>
    </row>
    <row r="42" spans="2:25">
      <c r="D42" s="2" t="s">
        <v>1564</v>
      </c>
    </row>
    <row r="43" spans="2:25">
      <c r="C43" s="2" t="s">
        <v>1561</v>
      </c>
    </row>
    <row r="44" spans="2:25" ht="15" customHeight="1">
      <c r="D44" s="2" t="s">
        <v>1562</v>
      </c>
    </row>
    <row r="45" spans="2:25">
      <c r="D45" s="2" t="s">
        <v>1563</v>
      </c>
    </row>
    <row r="46" spans="2:25">
      <c r="C46" s="2" t="s">
        <v>2217</v>
      </c>
    </row>
    <row r="48" spans="2:25" ht="15">
      <c r="B48" s="1" t="s">
        <v>1545</v>
      </c>
    </row>
    <row r="49" spans="2:25">
      <c r="B49" s="202" t="s">
        <v>1543</v>
      </c>
    </row>
    <row r="50" spans="2:25">
      <c r="C50" s="2" t="s">
        <v>1544</v>
      </c>
    </row>
    <row r="51" spans="2:25">
      <c r="D51" s="2" t="s">
        <v>1546</v>
      </c>
    </row>
    <row r="52" spans="2:25">
      <c r="D52" s="2" t="s">
        <v>1547</v>
      </c>
    </row>
    <row r="53" spans="2:25">
      <c r="C53" s="2" t="s">
        <v>1554</v>
      </c>
    </row>
    <row r="54" spans="2:25" ht="14.25" customHeight="1">
      <c r="D54" s="2" t="s">
        <v>1548</v>
      </c>
    </row>
    <row r="55" spans="2:25">
      <c r="D55" s="2" t="s">
        <v>1549</v>
      </c>
    </row>
    <row r="56" spans="2:25" ht="15" customHeight="1">
      <c r="C56" s="2" t="s">
        <v>1550</v>
      </c>
    </row>
    <row r="57" spans="2:25" ht="14.25" customHeight="1">
      <c r="D57" s="2" t="s">
        <v>1551</v>
      </c>
    </row>
    <row r="58" spans="2:25">
      <c r="C58" s="64" t="s">
        <v>1552</v>
      </c>
      <c r="D58" s="12"/>
      <c r="E58" s="12"/>
      <c r="F58" s="12"/>
      <c r="G58" s="12"/>
      <c r="H58" s="12"/>
      <c r="I58" s="12"/>
      <c r="J58" s="12"/>
      <c r="K58" s="12"/>
      <c r="L58" s="12"/>
      <c r="M58" s="12"/>
      <c r="N58" s="12"/>
      <c r="O58" s="12"/>
      <c r="P58" s="12"/>
      <c r="Q58" s="12"/>
      <c r="R58" s="12"/>
      <c r="S58" s="12"/>
      <c r="T58" s="12"/>
      <c r="U58" s="12"/>
      <c r="V58" s="12"/>
      <c r="W58" s="12"/>
      <c r="X58" s="12"/>
      <c r="Y58" s="12"/>
    </row>
    <row r="59" spans="2:25">
      <c r="C59" s="12"/>
      <c r="D59" s="2" t="s">
        <v>1553</v>
      </c>
      <c r="E59" s="12"/>
      <c r="F59" s="12"/>
      <c r="G59" s="12"/>
      <c r="H59" s="12"/>
      <c r="I59" s="12"/>
      <c r="J59" s="12"/>
      <c r="K59" s="12"/>
      <c r="L59" s="12"/>
      <c r="M59" s="12"/>
      <c r="N59" s="12"/>
      <c r="O59" s="12"/>
      <c r="P59" s="12"/>
      <c r="Q59" s="12"/>
      <c r="R59" s="12"/>
      <c r="S59" s="12"/>
      <c r="T59" s="12"/>
      <c r="U59" s="12"/>
      <c r="V59" s="12"/>
      <c r="W59" s="12"/>
      <c r="X59" s="12"/>
      <c r="Y59" s="12"/>
    </row>
    <row r="61" spans="2:25" ht="15">
      <c r="B61" s="1" t="s">
        <v>2021</v>
      </c>
    </row>
    <row r="62" spans="2:25">
      <c r="B62" s="202" t="s">
        <v>2020</v>
      </c>
    </row>
    <row r="63" spans="2:25">
      <c r="C63" s="2" t="s">
        <v>2022</v>
      </c>
    </row>
    <row r="64" spans="2:25">
      <c r="C64" s="2" t="s">
        <v>2023</v>
      </c>
    </row>
    <row r="65" spans="3:4">
      <c r="D65" s="2" t="s">
        <v>2024</v>
      </c>
    </row>
    <row r="66" spans="3:4">
      <c r="C66" s="2" t="s">
        <v>2024</v>
      </c>
    </row>
    <row r="67" spans="3:4">
      <c r="D67" s="2" t="s">
        <v>2025</v>
      </c>
    </row>
    <row r="68" spans="3:4">
      <c r="D68" s="2" t="s">
        <v>2026</v>
      </c>
    </row>
    <row r="69" spans="3:4">
      <c r="C69" s="2" t="s">
        <v>2027</v>
      </c>
    </row>
    <row r="70" spans="3:4">
      <c r="D70" s="2" t="s">
        <v>2028</v>
      </c>
    </row>
    <row r="71" spans="3:4">
      <c r="D71" s="2" t="s">
        <v>2029</v>
      </c>
    </row>
    <row r="72" spans="3:4">
      <c r="C72" s="2" t="s">
        <v>2030</v>
      </c>
    </row>
    <row r="73" spans="3:4">
      <c r="D73" s="2" t="s">
        <v>2031</v>
      </c>
    </row>
    <row r="74" spans="3:4">
      <c r="C74" s="2" t="s">
        <v>2032</v>
      </c>
    </row>
    <row r="75" spans="3:4">
      <c r="D75" s="2" t="s">
        <v>2033</v>
      </c>
    </row>
    <row r="76" spans="3:4">
      <c r="D76" s="2" t="s">
        <v>2034</v>
      </c>
    </row>
    <row r="77" spans="3:4">
      <c r="D77" s="2" t="s">
        <v>2035</v>
      </c>
    </row>
  </sheetData>
  <mergeCells count="2">
    <mergeCell ref="D40:U41"/>
    <mergeCell ref="F3:K3"/>
  </mergeCells>
  <hyperlinks>
    <hyperlink ref="F4" location="'Peripheral Thrombectomy'!A1" display="Indigo System" xr:uid="{D8E628D4-124E-48FE-9AEE-12A1C8DF8CDA}"/>
    <hyperlink ref="F6" location="'Peripheral Thrombectomy'!A1" display="Lightning" xr:uid="{3A930A76-B84F-4E62-BA2B-C4BA9C2B3CAC}"/>
    <hyperlink ref="F7" location="'Peripheral Thrombectomy'!A1" display="Bolt" xr:uid="{AA88F25B-C8D2-4C12-9D22-60D29F896E7F}"/>
    <hyperlink ref="F5" location="'Peripheral Thrombectomy'!A1" display="Cat RX" xr:uid="{322670F4-3F1D-4901-A62A-A619E3851532}"/>
    <hyperlink ref="F8" location="'Neuro Thrombectomy'!A1" display="Penumbra System" xr:uid="{CDCF04B3-612E-42BF-8D01-EEF3B3D4C542}"/>
    <hyperlink ref="F9" location="'Neuro Thrombectomy'!A1" display="Penumbra RED, SENDit, JET, ACE, BMX, and MAX catheters" xr:uid="{EAD9396F-512E-457C-8C17-1A91C14AE8B7}"/>
    <hyperlink ref="F10" location="'Neuro Thrombectomy'!A1" display="3D Revascularization Device" xr:uid="{35944BCD-D9E0-4201-BD85-E56069B94B3B}"/>
    <hyperlink ref="F11" location="'Neuro Thrombectomy'!A1" display="Penumbra Engine and other components and accessories" xr:uid="{3361A062-C9B0-4C07-8565-65AD54987EAB}"/>
    <hyperlink ref="F12" location="'Peripheral Embolization'!A1" display="Ruby Coil System" xr:uid="{DD05B7FF-63C9-4AC1-A647-8FCF4C1ED3F3}"/>
    <hyperlink ref="F13" location="'Peripheral Embolization'!A1" display="Ruby LP" xr:uid="{8895FB58-7E80-4210-B885-5D148A61B4F6}"/>
    <hyperlink ref="F14" location="'Peripheral Embolization'!A1" display="Lantern" xr:uid="{87A594DD-97E8-47E0-8DA4-09791505B187}"/>
    <hyperlink ref="F15" location="'Peripheral Embolization'!A1" display="POD (Penumbra Occlusion Device)" xr:uid="{4C71A576-871B-4A1B-A965-69490AAABF62}"/>
    <hyperlink ref="F16" location="'Peripheral Embolization'!A1" display="Packing Coil" xr:uid="{91FCB5AB-C60D-4C65-BCF1-9594D18E6EAE}"/>
    <hyperlink ref="F17" location="'Peripheral Embolization'!A1" display="Packing Coil LP" xr:uid="{1D908273-AFB2-420D-B32B-5E7769C43026}"/>
    <hyperlink ref="F18" location="'Neuro Embolization'!A1" display="Penumbra Coil 400" xr:uid="{F09A8180-EEA2-4551-9B72-EA59D87AD0C6}"/>
    <hyperlink ref="F19" location="'Neuro Embolization'!A1" display="POD400" xr:uid="{874AD8AB-0CD0-45AF-ADD7-15989339073E}"/>
    <hyperlink ref="F20" location="'Neuro Embolization'!A1" display="PAC400" xr:uid="{AEF03A80-2CF7-4BCA-8F20-F06F60C31EB3}"/>
    <hyperlink ref="F21" location="'Neuro Embolization'!A1" display="Penumbra SMART COIL" xr:uid="{4DEC1CE7-2D18-4B9E-9F00-E4547075AE69}"/>
    <hyperlink ref="F22" location="'Neuro Embolization'!A1" display="SwiftPAC Coil" xr:uid="{E1E0D5E0-E8FF-4F22-8300-F33680524F97}"/>
    <hyperlink ref="F23" location="Access!A1" display="Neuron" xr:uid="{429438B2-8626-466F-89F6-41005AD1F672}"/>
    <hyperlink ref="F24" location="Access!A1" display="Neuron Max" xr:uid="{B5D1765C-2B57-4042-A1BB-B2D5AC3D1A57}"/>
    <hyperlink ref="F25" location="Access!A1" display="BENCHMARK" xr:uid="{650E83CF-EFAF-4A9D-A0B2-A060A532358E}"/>
    <hyperlink ref="F27" location="Access!A1" display="BMX" xr:uid="{FBE88DB0-0AF3-4E18-A0FB-AA0C35A70CB5}"/>
    <hyperlink ref="F28" location="Access!A1" display="DDC" xr:uid="{963A3329-6BB7-4E4B-AA8F-F6C6DB1AC0A3}"/>
    <hyperlink ref="F29" location="Access!A1" display="PX SLIM" xr:uid="{D131C2E9-165B-48BC-91A6-75C8EDD60C81}"/>
    <hyperlink ref="F30" location="Access!A1" display="MIDWAY" xr:uid="{7D810FAF-3CA7-42C6-9EE3-369E337091F8}"/>
    <hyperlink ref="F31" location="'Neurosurgical Tools'!A1" display="Artemis Neuro Evacuation Device" xr:uid="{B74AE714-B72E-47F6-A281-148537CF8A8D}"/>
    <hyperlink ref="B49" r:id="rId1" xr:uid="{A565F905-5622-41C5-806C-0BB46EAF7D50}"/>
    <hyperlink ref="B35" r:id="rId2" xr:uid="{634B5E92-5B4C-434F-B8B5-012B8467DC59}"/>
    <hyperlink ref="F26" location="Access!A1" display="Element" xr:uid="{DD2AA9AE-DB1A-4CEB-8208-8E80ABDD5184}"/>
    <hyperlink ref="B62" r:id="rId3" xr:uid="{EDA628CE-445D-4074-A700-9CCEC0A63E77}"/>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86C2-8998-43C2-A160-30D06B79BA18}">
  <sheetPr>
    <tabColor rgb="FF7030A0"/>
  </sheetPr>
  <dimension ref="A2:V33"/>
  <sheetViews>
    <sheetView zoomScale="58" zoomScaleNormal="85" workbookViewId="0">
      <selection activeCell="E34" sqref="E34"/>
    </sheetView>
  </sheetViews>
  <sheetFormatPr defaultColWidth="9.140625" defaultRowHeight="14.25"/>
  <cols>
    <col min="1" max="1" width="3.140625" style="19" customWidth="1"/>
    <col min="2" max="3" width="9.140625" style="19"/>
    <col min="4" max="4" width="9.7109375" style="19" bestFit="1" customWidth="1"/>
    <col min="5" max="16384" width="9.140625" style="19"/>
  </cols>
  <sheetData>
    <row r="2" spans="1:22" ht="15">
      <c r="A2" s="21" t="s">
        <v>1625</v>
      </c>
      <c r="K2" s="25" t="s">
        <v>1637</v>
      </c>
      <c r="L2" s="26" t="s">
        <v>1626</v>
      </c>
    </row>
    <row r="3" spans="1:22">
      <c r="B3" s="19" t="s">
        <v>1648</v>
      </c>
    </row>
    <row r="4" spans="1:22">
      <c r="C4" s="19" t="s">
        <v>1987</v>
      </c>
    </row>
    <row r="5" spans="1:22">
      <c r="C5" s="19" t="s">
        <v>1627</v>
      </c>
    </row>
    <row r="6" spans="1:22">
      <c r="D6" s="19" t="s">
        <v>1840</v>
      </c>
    </row>
    <row r="7" spans="1:22">
      <c r="D7" s="19" t="s">
        <v>1629</v>
      </c>
    </row>
    <row r="8" spans="1:22">
      <c r="D8" s="19" t="s">
        <v>1630</v>
      </c>
    </row>
    <row r="9" spans="1:22">
      <c r="D9" s="19" t="s">
        <v>1631</v>
      </c>
    </row>
    <row r="10" spans="1:22" ht="15">
      <c r="A10" s="21" t="s">
        <v>1632</v>
      </c>
    </row>
    <row r="11" spans="1:22">
      <c r="B11" s="19" t="s">
        <v>1633</v>
      </c>
    </row>
    <row r="12" spans="1:22">
      <c r="C12" s="19" t="s">
        <v>1634</v>
      </c>
      <c r="Q12" s="25" t="s">
        <v>1637</v>
      </c>
      <c r="R12" s="26" t="s">
        <v>1635</v>
      </c>
    </row>
    <row r="13" spans="1:22">
      <c r="D13" s="19" t="s">
        <v>1638</v>
      </c>
    </row>
    <row r="14" spans="1:22">
      <c r="B14" s="19" t="s">
        <v>1628</v>
      </c>
    </row>
    <row r="15" spans="1:22">
      <c r="B15" s="19" t="s">
        <v>1639</v>
      </c>
    </row>
    <row r="16" spans="1:22" ht="15" customHeight="1">
      <c r="C16" s="23" t="s">
        <v>1640</v>
      </c>
      <c r="D16" s="284" t="s">
        <v>1643</v>
      </c>
      <c r="E16" s="284"/>
      <c r="F16" s="284"/>
      <c r="G16" s="284"/>
      <c r="H16" s="284"/>
      <c r="I16" s="284"/>
      <c r="J16" s="284"/>
      <c r="K16" s="284"/>
      <c r="L16" s="284"/>
      <c r="M16" s="284"/>
      <c r="N16" s="284"/>
      <c r="O16" s="284"/>
      <c r="P16" s="284"/>
      <c r="Q16" s="284"/>
      <c r="R16" s="284"/>
      <c r="S16" s="284"/>
      <c r="T16" s="284"/>
      <c r="U16" s="284"/>
      <c r="V16" s="284"/>
    </row>
    <row r="17" spans="1:22" ht="15" customHeight="1">
      <c r="D17" s="284"/>
      <c r="E17" s="284"/>
      <c r="F17" s="284"/>
      <c r="G17" s="284"/>
      <c r="H17" s="284"/>
      <c r="I17" s="284"/>
      <c r="J17" s="284"/>
      <c r="K17" s="284"/>
      <c r="L17" s="284"/>
      <c r="M17" s="284"/>
      <c r="N17" s="284"/>
      <c r="O17" s="284"/>
      <c r="P17" s="284"/>
      <c r="Q17" s="284"/>
      <c r="R17" s="284"/>
      <c r="S17" s="284"/>
      <c r="T17" s="284"/>
      <c r="U17" s="284"/>
      <c r="V17" s="284"/>
    </row>
    <row r="18" spans="1:22">
      <c r="D18" s="19" t="s">
        <v>1641</v>
      </c>
    </row>
    <row r="19" spans="1:22" ht="15" customHeight="1">
      <c r="D19" s="284" t="s">
        <v>1642</v>
      </c>
      <c r="E19" s="284"/>
      <c r="F19" s="284"/>
      <c r="G19" s="284"/>
      <c r="H19" s="284"/>
      <c r="I19" s="284"/>
      <c r="J19" s="284"/>
      <c r="K19" s="284"/>
      <c r="L19" s="284"/>
      <c r="M19" s="284"/>
      <c r="N19" s="284"/>
      <c r="O19" s="284"/>
      <c r="P19" s="284"/>
      <c r="Q19" s="284"/>
      <c r="R19" s="284"/>
      <c r="S19" s="284"/>
      <c r="T19" s="284"/>
      <c r="U19" s="284"/>
      <c r="V19" s="284"/>
    </row>
    <row r="20" spans="1:22">
      <c r="D20" s="284"/>
      <c r="E20" s="284"/>
      <c r="F20" s="284"/>
      <c r="G20" s="284"/>
      <c r="H20" s="284"/>
      <c r="I20" s="284"/>
      <c r="J20" s="284"/>
      <c r="K20" s="284"/>
      <c r="L20" s="284"/>
      <c r="M20" s="284"/>
      <c r="N20" s="284"/>
      <c r="O20" s="284"/>
      <c r="P20" s="284"/>
      <c r="Q20" s="284"/>
      <c r="R20" s="284"/>
      <c r="S20" s="284"/>
      <c r="T20" s="284"/>
      <c r="U20" s="284"/>
      <c r="V20" s="284"/>
    </row>
    <row r="21" spans="1:22">
      <c r="B21" s="19" t="s">
        <v>1644</v>
      </c>
    </row>
    <row r="22" spans="1:22">
      <c r="B22" s="19" t="s">
        <v>1645</v>
      </c>
    </row>
    <row r="23" spans="1:22">
      <c r="C23" s="19" t="s">
        <v>1646</v>
      </c>
    </row>
    <row r="24" spans="1:22" ht="15">
      <c r="A24" s="21" t="s">
        <v>1647</v>
      </c>
    </row>
    <row r="25" spans="1:22">
      <c r="B25" s="19" t="s">
        <v>1649</v>
      </c>
    </row>
    <row r="26" spans="1:22">
      <c r="C26" s="19" t="s">
        <v>1650</v>
      </c>
    </row>
    <row r="27" spans="1:22">
      <c r="D27" s="24" t="s">
        <v>1651</v>
      </c>
    </row>
    <row r="28" spans="1:22">
      <c r="E28" s="19" t="s">
        <v>1653</v>
      </c>
    </row>
    <row r="29" spans="1:22">
      <c r="D29" s="19" t="s">
        <v>1652</v>
      </c>
    </row>
    <row r="30" spans="1:22">
      <c r="E30" s="19" t="s">
        <v>1654</v>
      </c>
    </row>
    <row r="31" spans="1:22">
      <c r="D31" s="19" t="s">
        <v>1655</v>
      </c>
    </row>
    <row r="32" spans="1:22">
      <c r="E32" s="19" t="s">
        <v>2298</v>
      </c>
    </row>
    <row r="33" spans="5:5">
      <c r="E33" s="19" t="s">
        <v>2299</v>
      </c>
    </row>
  </sheetData>
  <mergeCells count="2">
    <mergeCell ref="D16:V17"/>
    <mergeCell ref="D19:V20"/>
  </mergeCells>
  <hyperlinks>
    <hyperlink ref="L2" r:id="rId1" xr:uid="{99495C73-CCAE-4D31-BD07-BD7A3A379B9E}"/>
    <hyperlink ref="R12" r:id="rId2" xr:uid="{024EA024-E031-4474-A2C7-03717A02739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0CB61-C448-4FEF-9745-025A105357D1}">
  <sheetPr>
    <tabColor theme="8" tint="0.39997558519241921"/>
  </sheetPr>
  <dimension ref="B2:G38"/>
  <sheetViews>
    <sheetView zoomScale="85" zoomScaleNormal="85" workbookViewId="0">
      <selection activeCell="B39" sqref="B39"/>
    </sheetView>
  </sheetViews>
  <sheetFormatPr defaultColWidth="9.140625" defaultRowHeight="14.25"/>
  <cols>
    <col min="1" max="1" width="2.85546875" style="19" customWidth="1"/>
    <col min="2" max="16384" width="9.140625" style="19"/>
  </cols>
  <sheetData>
    <row r="2" spans="2:2" ht="15">
      <c r="B2" s="21" t="s">
        <v>598</v>
      </c>
    </row>
    <row r="33" spans="2:7">
      <c r="B33" s="19" t="s">
        <v>559</v>
      </c>
      <c r="G33" s="22" t="s">
        <v>467</v>
      </c>
    </row>
    <row r="34" spans="2:7">
      <c r="B34" s="19" t="s">
        <v>560</v>
      </c>
      <c r="G34" s="22" t="s">
        <v>1937</v>
      </c>
    </row>
    <row r="36" spans="2:7">
      <c r="B36" s="19" t="s">
        <v>2038</v>
      </c>
    </row>
    <row r="37" spans="2:7">
      <c r="C37" s="19" t="s">
        <v>2074</v>
      </c>
    </row>
    <row r="38" spans="2:7">
      <c r="B38" s="19" t="s">
        <v>2127</v>
      </c>
    </row>
  </sheetData>
  <hyperlinks>
    <hyperlink ref="G33" r:id="rId1" xr:uid="{B9B6CE2C-9518-420B-B922-7C8F9CFA948B}"/>
    <hyperlink ref="G34" r:id="rId2" display="https://www.sec.gov/Archives/edgar/data/1321732/000114036125014193/ef20047412_ars.pdf" xr:uid="{6A956E5A-FB39-454D-99BA-21D2508E87F4}"/>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3BF4-9697-4046-8C3C-D7E3DCD82664}">
  <dimension ref="B2:W20"/>
  <sheetViews>
    <sheetView zoomScale="85" zoomScaleNormal="85" workbookViewId="0">
      <selection activeCell="I31" sqref="I31"/>
    </sheetView>
  </sheetViews>
  <sheetFormatPr defaultColWidth="9.140625" defaultRowHeight="14.25"/>
  <cols>
    <col min="1" max="1" width="3" style="2" customWidth="1"/>
    <col min="2" max="2" width="9.140625" style="2" customWidth="1"/>
    <col min="3" max="5" width="9.140625" style="2"/>
    <col min="6" max="6" width="10" style="2" customWidth="1"/>
    <col min="7" max="16384" width="9.140625" style="2"/>
  </cols>
  <sheetData>
    <row r="2" spans="2:23">
      <c r="B2" s="2" t="s">
        <v>2105</v>
      </c>
    </row>
    <row r="4" spans="2:23">
      <c r="B4" s="2" t="s">
        <v>1882</v>
      </c>
    </row>
    <row r="5" spans="2:23" ht="15">
      <c r="B5" s="20"/>
      <c r="C5" s="20" t="s">
        <v>2106</v>
      </c>
      <c r="D5" s="20"/>
      <c r="E5" s="20"/>
      <c r="F5" s="20"/>
      <c r="G5" s="20"/>
      <c r="H5" s="20"/>
      <c r="I5" s="20"/>
      <c r="J5" s="20"/>
      <c r="K5" s="20"/>
      <c r="L5" s="20"/>
      <c r="M5" s="20"/>
      <c r="N5" s="35" t="s">
        <v>1896</v>
      </c>
    </row>
    <row r="6" spans="2:23" ht="15">
      <c r="B6" s="20"/>
      <c r="C6" s="20"/>
      <c r="D6" s="37" t="s">
        <v>1744</v>
      </c>
      <c r="E6" s="20"/>
      <c r="F6" s="20"/>
      <c r="G6" s="20"/>
      <c r="H6" s="20"/>
      <c r="I6" s="20"/>
      <c r="J6" s="20"/>
      <c r="K6" s="20"/>
      <c r="L6" s="20"/>
      <c r="M6" s="20"/>
      <c r="N6" s="35" t="s">
        <v>1735</v>
      </c>
      <c r="O6" s="19"/>
      <c r="P6" s="19"/>
    </row>
    <row r="7" spans="2:23">
      <c r="C7" s="20"/>
      <c r="D7" s="20"/>
      <c r="E7" s="20"/>
      <c r="F7" s="20"/>
      <c r="G7" s="20"/>
      <c r="H7" s="20"/>
      <c r="I7" s="20"/>
      <c r="J7" s="20"/>
      <c r="K7" s="20"/>
      <c r="L7" s="20"/>
      <c r="M7" s="20"/>
      <c r="N7" s="35" t="s">
        <v>1738</v>
      </c>
      <c r="O7" s="19"/>
      <c r="P7" s="19"/>
    </row>
    <row r="8" spans="2:23" ht="15">
      <c r="B8" s="34" t="s">
        <v>2102</v>
      </c>
      <c r="O8" s="19"/>
      <c r="P8" s="19"/>
    </row>
    <row r="9" spans="2:23">
      <c r="B9" s="20"/>
      <c r="C9" s="284" t="s">
        <v>1731</v>
      </c>
      <c r="D9" s="284"/>
      <c r="E9" s="284"/>
      <c r="F9" s="284"/>
      <c r="G9" s="284"/>
      <c r="H9" s="284"/>
      <c r="I9" s="284"/>
      <c r="J9" s="284"/>
      <c r="K9" s="284"/>
      <c r="L9" s="284"/>
      <c r="M9" s="284"/>
      <c r="N9" s="284"/>
      <c r="O9" s="284"/>
      <c r="P9" s="284"/>
      <c r="Q9" s="284"/>
      <c r="R9" s="284"/>
      <c r="S9" s="284"/>
      <c r="T9" s="284"/>
      <c r="U9" s="284"/>
      <c r="V9" s="11"/>
      <c r="W9" s="11"/>
    </row>
    <row r="10" spans="2:23">
      <c r="B10" s="20"/>
      <c r="C10" s="284"/>
      <c r="D10" s="284"/>
      <c r="E10" s="284"/>
      <c r="F10" s="284"/>
      <c r="G10" s="284"/>
      <c r="H10" s="284"/>
      <c r="I10" s="284"/>
      <c r="J10" s="284"/>
      <c r="K10" s="284"/>
      <c r="L10" s="284"/>
      <c r="M10" s="284"/>
      <c r="N10" s="284"/>
      <c r="O10" s="284"/>
      <c r="P10" s="284"/>
      <c r="Q10" s="284"/>
      <c r="R10" s="284"/>
      <c r="S10" s="284"/>
      <c r="T10" s="284"/>
      <c r="U10" s="284"/>
      <c r="V10" s="11"/>
      <c r="W10" s="11"/>
    </row>
    <row r="11" spans="2:23">
      <c r="B11" s="20"/>
      <c r="C11" s="284"/>
      <c r="D11" s="284"/>
      <c r="E11" s="284"/>
      <c r="F11" s="284"/>
      <c r="G11" s="284"/>
      <c r="H11" s="284"/>
      <c r="I11" s="284"/>
      <c r="J11" s="284"/>
      <c r="K11" s="284"/>
      <c r="L11" s="284"/>
      <c r="M11" s="284"/>
      <c r="N11" s="284"/>
      <c r="O11" s="284"/>
      <c r="P11" s="284"/>
      <c r="Q11" s="284"/>
      <c r="R11" s="284"/>
      <c r="S11" s="284"/>
      <c r="T11" s="284"/>
      <c r="U11" s="284"/>
      <c r="V11" s="11"/>
      <c r="W11" s="11"/>
    </row>
    <row r="12" spans="2:23">
      <c r="B12" s="20"/>
      <c r="C12" s="20"/>
      <c r="D12" s="20" t="s">
        <v>1732</v>
      </c>
      <c r="E12" s="20"/>
      <c r="F12" s="20"/>
      <c r="G12" s="20"/>
      <c r="H12" s="20"/>
      <c r="I12" s="20"/>
      <c r="J12" s="20"/>
      <c r="K12" s="20"/>
      <c r="L12" s="20"/>
      <c r="M12" s="20"/>
      <c r="N12" s="20"/>
      <c r="O12" s="19"/>
      <c r="P12" s="19"/>
    </row>
    <row r="13" spans="2:23">
      <c r="B13" s="20"/>
      <c r="C13" s="20"/>
      <c r="D13" s="20" t="s">
        <v>1733</v>
      </c>
      <c r="E13" s="20"/>
      <c r="F13" s="20"/>
      <c r="G13" s="20"/>
      <c r="H13" s="20"/>
      <c r="I13" s="20"/>
      <c r="J13" s="20"/>
      <c r="K13" s="20"/>
      <c r="L13" s="20"/>
      <c r="M13" s="20"/>
      <c r="N13" s="20"/>
      <c r="O13" s="19"/>
      <c r="P13" s="19"/>
    </row>
    <row r="14" spans="2:23">
      <c r="B14" s="20"/>
      <c r="C14" s="284" t="s">
        <v>1734</v>
      </c>
      <c r="D14" s="284"/>
      <c r="E14" s="284"/>
      <c r="F14" s="284"/>
      <c r="G14" s="284"/>
      <c r="H14" s="284"/>
      <c r="I14" s="284"/>
      <c r="J14" s="284"/>
      <c r="K14" s="284"/>
      <c r="L14" s="284"/>
      <c r="M14" s="284"/>
      <c r="N14" s="284"/>
      <c r="O14" s="284"/>
      <c r="P14" s="284"/>
      <c r="Q14" s="284"/>
      <c r="R14" s="284"/>
      <c r="S14" s="284"/>
      <c r="T14" s="284"/>
      <c r="U14" s="284"/>
      <c r="V14" s="13"/>
      <c r="W14" s="13"/>
    </row>
    <row r="15" spans="2:23">
      <c r="B15" s="20"/>
      <c r="C15" s="284"/>
      <c r="D15" s="284"/>
      <c r="E15" s="284"/>
      <c r="F15" s="284"/>
      <c r="G15" s="284"/>
      <c r="H15" s="284"/>
      <c r="I15" s="284"/>
      <c r="J15" s="284"/>
      <c r="K15" s="284"/>
      <c r="L15" s="284"/>
      <c r="M15" s="284"/>
      <c r="N15" s="284"/>
      <c r="O15" s="284"/>
      <c r="P15" s="284"/>
      <c r="Q15" s="284"/>
      <c r="R15" s="284"/>
      <c r="S15" s="284"/>
      <c r="T15" s="284"/>
      <c r="U15" s="284"/>
      <c r="V15" s="13"/>
      <c r="W15" s="13"/>
    </row>
    <row r="16" spans="2:23">
      <c r="B16" s="20"/>
      <c r="C16" s="20"/>
      <c r="D16" s="20" t="s">
        <v>1736</v>
      </c>
      <c r="E16" s="20"/>
      <c r="F16" s="20"/>
      <c r="G16" s="20"/>
      <c r="H16" s="20"/>
      <c r="I16" s="20"/>
      <c r="J16" s="20"/>
      <c r="K16" s="20"/>
      <c r="L16" s="20"/>
      <c r="M16" s="20"/>
      <c r="N16" s="20"/>
      <c r="O16" s="19"/>
      <c r="P16" s="19"/>
    </row>
    <row r="17" spans="2:16">
      <c r="B17" s="20"/>
      <c r="C17" s="20"/>
      <c r="D17" s="20" t="s">
        <v>1737</v>
      </c>
      <c r="E17" s="20"/>
      <c r="F17" s="20"/>
      <c r="G17" s="20"/>
      <c r="H17" s="20"/>
      <c r="I17" s="20"/>
      <c r="J17" s="20"/>
      <c r="K17" s="20"/>
      <c r="L17" s="20"/>
      <c r="M17" s="20"/>
      <c r="N17" s="20"/>
      <c r="O17" s="19"/>
      <c r="P17" s="19"/>
    </row>
    <row r="18" spans="2:16">
      <c r="B18" s="20"/>
      <c r="C18" s="20" t="s">
        <v>1895</v>
      </c>
      <c r="D18" s="20"/>
      <c r="E18" s="20"/>
      <c r="F18" s="20"/>
      <c r="G18" s="20"/>
      <c r="H18" s="20"/>
      <c r="I18" s="20"/>
      <c r="J18" s="20"/>
      <c r="K18" s="20"/>
      <c r="L18" s="20"/>
      <c r="M18" s="20"/>
      <c r="N18" s="20"/>
      <c r="O18" s="19"/>
      <c r="P18" s="19"/>
    </row>
    <row r="19" spans="2:16">
      <c r="B19" s="20"/>
      <c r="C19" s="20" t="s">
        <v>1928</v>
      </c>
      <c r="D19" s="20"/>
      <c r="E19" s="20"/>
      <c r="F19" s="20"/>
      <c r="G19" s="20"/>
      <c r="H19" s="20"/>
      <c r="I19" s="20"/>
      <c r="J19" s="20"/>
      <c r="K19" s="20"/>
      <c r="L19" s="20"/>
      <c r="M19" s="20"/>
      <c r="N19" s="20"/>
      <c r="O19" s="19"/>
      <c r="P19" s="19"/>
    </row>
    <row r="20" spans="2:16">
      <c r="B20" s="20"/>
      <c r="C20" s="20"/>
      <c r="D20" s="20" t="s">
        <v>1929</v>
      </c>
      <c r="E20" s="20"/>
      <c r="F20" s="20"/>
      <c r="G20" s="20"/>
      <c r="H20" s="20"/>
      <c r="I20" s="20"/>
      <c r="J20" s="20"/>
      <c r="K20" s="20"/>
      <c r="L20" s="20"/>
      <c r="M20" s="20"/>
      <c r="N20" s="20"/>
      <c r="O20" s="19"/>
      <c r="P20" s="19"/>
    </row>
  </sheetData>
  <mergeCells count="2">
    <mergeCell ref="C9:U11"/>
    <mergeCell ref="C14:U15"/>
  </mergeCells>
  <hyperlinks>
    <hyperlink ref="N6" r:id="rId1" xr:uid="{D54FABF6-57C4-452D-987D-5E8053E5B390}"/>
    <hyperlink ref="N7" r:id="rId2" xr:uid="{EA73647B-CBC6-48AF-B1AA-69E8FE0B2319}"/>
    <hyperlink ref="N5" r:id="rId3" xr:uid="{148AF241-8C66-4BC0-BBCF-21915592C76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9C93-3A1A-4DAF-849F-F6594E79FECC}">
  <dimension ref="A1:BI126"/>
  <sheetViews>
    <sheetView zoomScale="70" zoomScaleNormal="70" workbookViewId="0"/>
  </sheetViews>
  <sheetFormatPr defaultColWidth="9" defaultRowHeight="14.25"/>
  <cols>
    <col min="1" max="1" width="3.140625" style="2" customWidth="1"/>
    <col min="2" max="7" width="9.28515625" style="2" customWidth="1"/>
    <col min="8" max="12" width="12.7109375" style="2" customWidth="1"/>
    <col min="13" max="18" width="17.85546875" style="2" customWidth="1"/>
    <col min="19" max="27" width="9" style="2"/>
    <col min="28" max="28" width="3" style="2" customWidth="1"/>
    <col min="29" max="16384" width="9" style="2"/>
  </cols>
  <sheetData>
    <row r="1" spans="1:61">
      <c r="M1" s="2" t="s">
        <v>2185</v>
      </c>
      <c r="BI1" s="2">
        <v>0</v>
      </c>
    </row>
    <row r="2" spans="1:61" ht="15">
      <c r="A2" s="1" t="s">
        <v>655</v>
      </c>
      <c r="H2" s="36" t="s">
        <v>1718</v>
      </c>
    </row>
    <row r="3" spans="1:61" ht="15">
      <c r="A3" s="1"/>
    </row>
    <row r="4" spans="1:61" ht="15">
      <c r="A4" s="1"/>
      <c r="B4" s="289" t="s">
        <v>1687</v>
      </c>
      <c r="C4" s="290"/>
      <c r="D4" s="290"/>
      <c r="E4" s="297" t="s">
        <v>1686</v>
      </c>
      <c r="F4" s="297"/>
      <c r="G4" s="297"/>
      <c r="H4" s="291" t="s">
        <v>1745</v>
      </c>
      <c r="I4" s="291"/>
      <c r="J4" s="291"/>
      <c r="K4" s="291"/>
      <c r="L4" s="291"/>
      <c r="M4" s="291" t="s">
        <v>1710</v>
      </c>
      <c r="N4" s="291"/>
      <c r="O4" s="291"/>
      <c r="P4" s="291"/>
      <c r="Q4" s="291"/>
      <c r="R4" s="292"/>
      <c r="S4" s="293" t="s">
        <v>2133</v>
      </c>
      <c r="T4" s="291"/>
      <c r="U4" s="292"/>
      <c r="W4"/>
    </row>
    <row r="5" spans="1:61" ht="100.5" customHeight="1">
      <c r="A5" s="1"/>
      <c r="B5" s="27" t="s">
        <v>2177</v>
      </c>
      <c r="C5" s="39"/>
      <c r="D5" s="40"/>
      <c r="E5" s="316">
        <v>2024</v>
      </c>
      <c r="F5" s="317"/>
      <c r="G5" s="318"/>
      <c r="H5" s="298" t="s">
        <v>2189</v>
      </c>
      <c r="I5" s="299"/>
      <c r="J5" s="299"/>
      <c r="K5" s="299"/>
      <c r="L5" s="300"/>
      <c r="M5" s="301" t="s">
        <v>2187</v>
      </c>
      <c r="N5" s="302"/>
      <c r="O5" s="302"/>
      <c r="P5" s="302"/>
      <c r="Q5" s="302"/>
      <c r="R5" s="303"/>
      <c r="S5" s="307"/>
      <c r="T5" s="308"/>
      <c r="U5" s="309"/>
    </row>
    <row r="6" spans="1:61" ht="60" customHeight="1">
      <c r="A6" s="1"/>
      <c r="B6" s="28" t="s">
        <v>1683</v>
      </c>
      <c r="C6" s="38"/>
      <c r="D6" s="41"/>
      <c r="E6" s="294">
        <v>2023</v>
      </c>
      <c r="F6" s="295"/>
      <c r="G6" s="296"/>
      <c r="H6" s="310" t="s">
        <v>2191</v>
      </c>
      <c r="I6" s="311"/>
      <c r="J6" s="311"/>
      <c r="K6" s="311"/>
      <c r="L6" s="312"/>
      <c r="M6" s="304" t="s">
        <v>2190</v>
      </c>
      <c r="N6" s="305"/>
      <c r="O6" s="305"/>
      <c r="P6" s="305"/>
      <c r="Q6" s="305"/>
      <c r="R6" s="306"/>
      <c r="S6" s="313"/>
      <c r="T6" s="314"/>
      <c r="U6" s="315"/>
    </row>
    <row r="7" spans="1:61" ht="114" customHeight="1">
      <c r="A7" s="1"/>
      <c r="B7" s="28" t="s">
        <v>2179</v>
      </c>
      <c r="C7" s="38"/>
      <c r="D7" s="41"/>
      <c r="E7" s="316">
        <v>2020</v>
      </c>
      <c r="F7" s="317"/>
      <c r="G7" s="318"/>
      <c r="H7" s="298" t="s">
        <v>2186</v>
      </c>
      <c r="I7" s="299"/>
      <c r="J7" s="299"/>
      <c r="K7" s="299"/>
      <c r="L7" s="300"/>
      <c r="M7" s="301" t="s">
        <v>2193</v>
      </c>
      <c r="N7" s="302"/>
      <c r="O7" s="302"/>
      <c r="P7" s="302"/>
      <c r="Q7" s="302"/>
      <c r="R7" s="303"/>
      <c r="S7" s="307"/>
      <c r="T7" s="308"/>
      <c r="U7" s="309"/>
    </row>
    <row r="8" spans="1:61" ht="58.5" customHeight="1">
      <c r="A8" s="1"/>
      <c r="B8" s="28" t="s">
        <v>2178</v>
      </c>
      <c r="C8" s="38"/>
      <c r="D8" s="41"/>
      <c r="E8" s="294">
        <v>2023</v>
      </c>
      <c r="F8" s="295"/>
      <c r="G8" s="296"/>
      <c r="H8" s="310" t="s">
        <v>2186</v>
      </c>
      <c r="I8" s="311"/>
      <c r="J8" s="311"/>
      <c r="K8" s="311"/>
      <c r="L8" s="312"/>
      <c r="M8" s="304" t="s">
        <v>2194</v>
      </c>
      <c r="N8" s="305"/>
      <c r="O8" s="305"/>
      <c r="P8" s="305"/>
      <c r="Q8" s="305"/>
      <c r="R8" s="306"/>
      <c r="S8" s="313"/>
      <c r="T8" s="314"/>
      <c r="U8" s="315"/>
    </row>
    <row r="9" spans="1:61" ht="99.75" customHeight="1">
      <c r="A9" s="1"/>
      <c r="B9" s="28" t="s">
        <v>2180</v>
      </c>
      <c r="C9" s="38"/>
      <c r="D9" s="41"/>
      <c r="E9" s="316">
        <v>2024</v>
      </c>
      <c r="F9" s="317"/>
      <c r="G9" s="318"/>
      <c r="H9" s="298" t="s">
        <v>2186</v>
      </c>
      <c r="I9" s="299"/>
      <c r="J9" s="299"/>
      <c r="K9" s="299"/>
      <c r="L9" s="300"/>
      <c r="M9" s="301" t="s">
        <v>2197</v>
      </c>
      <c r="N9" s="302"/>
      <c r="O9" s="302"/>
      <c r="P9" s="302"/>
      <c r="Q9" s="302"/>
      <c r="R9" s="303"/>
      <c r="S9" s="307"/>
      <c r="T9" s="308"/>
      <c r="U9" s="309"/>
    </row>
    <row r="10" spans="1:61" ht="59.25" customHeight="1">
      <c r="A10" s="1"/>
      <c r="B10" s="28" t="s">
        <v>2196</v>
      </c>
      <c r="C10" s="38"/>
      <c r="D10" s="41"/>
      <c r="E10" s="294">
        <v>2018</v>
      </c>
      <c r="F10" s="295"/>
      <c r="G10" s="296"/>
      <c r="H10" s="310" t="s">
        <v>2195</v>
      </c>
      <c r="I10" s="311"/>
      <c r="J10" s="311"/>
      <c r="K10" s="311"/>
      <c r="L10" s="312"/>
      <c r="M10" s="304" t="s">
        <v>2199</v>
      </c>
      <c r="N10" s="305"/>
      <c r="O10" s="305"/>
      <c r="P10" s="305"/>
      <c r="Q10" s="305"/>
      <c r="R10" s="306"/>
      <c r="S10" s="313"/>
      <c r="T10" s="314"/>
      <c r="U10" s="315"/>
    </row>
    <row r="11" spans="1:61" ht="85.5" customHeight="1">
      <c r="B11" s="28" t="s">
        <v>1684</v>
      </c>
      <c r="C11" s="38"/>
      <c r="D11" s="41"/>
      <c r="E11" s="316">
        <v>2017</v>
      </c>
      <c r="F11" s="317"/>
      <c r="G11" s="318"/>
      <c r="H11" s="298" t="s">
        <v>2201</v>
      </c>
      <c r="I11" s="299"/>
      <c r="J11" s="299"/>
      <c r="K11" s="299"/>
      <c r="L11" s="300"/>
      <c r="M11" s="301" t="s">
        <v>2200</v>
      </c>
      <c r="N11" s="302"/>
      <c r="O11" s="302"/>
      <c r="P11" s="302"/>
      <c r="Q11" s="302"/>
      <c r="R11" s="303"/>
      <c r="S11" s="307"/>
      <c r="T11" s="308"/>
      <c r="U11" s="309"/>
    </row>
    <row r="12" spans="1:61" ht="114" customHeight="1">
      <c r="B12" s="28" t="s">
        <v>1685</v>
      </c>
      <c r="C12" s="30"/>
      <c r="D12" s="31"/>
      <c r="E12" s="294" t="s">
        <v>2182</v>
      </c>
      <c r="F12" s="295"/>
      <c r="G12" s="296"/>
      <c r="H12" s="310" t="s">
        <v>2181</v>
      </c>
      <c r="I12" s="311"/>
      <c r="J12" s="311"/>
      <c r="K12" s="311"/>
      <c r="L12" s="312"/>
      <c r="M12" s="304" t="s">
        <v>2202</v>
      </c>
      <c r="N12" s="305"/>
      <c r="O12" s="305"/>
      <c r="P12" s="305"/>
      <c r="Q12" s="305"/>
      <c r="R12" s="306"/>
      <c r="S12" s="313"/>
      <c r="T12" s="314"/>
      <c r="U12" s="315"/>
    </row>
    <row r="13" spans="1:61" ht="24.75" customHeight="1">
      <c r="B13" s="28" t="s">
        <v>1682</v>
      </c>
      <c r="C13" s="38"/>
      <c r="D13" s="41"/>
      <c r="E13" s="316" t="s">
        <v>1679</v>
      </c>
      <c r="F13" s="317"/>
      <c r="G13" s="318"/>
      <c r="H13" s="298"/>
      <c r="I13" s="299"/>
      <c r="J13" s="299"/>
      <c r="K13" s="299"/>
      <c r="L13" s="300"/>
      <c r="M13" s="301" t="s">
        <v>1681</v>
      </c>
      <c r="N13" s="302"/>
      <c r="O13" s="302"/>
      <c r="P13" s="302"/>
      <c r="Q13" s="302"/>
      <c r="R13" s="303"/>
      <c r="S13" s="307"/>
      <c r="T13" s="308"/>
      <c r="U13" s="309"/>
    </row>
    <row r="14" spans="1:61" ht="30" customHeight="1">
      <c r="B14" s="29" t="s">
        <v>1680</v>
      </c>
      <c r="C14" s="16"/>
      <c r="D14" s="42"/>
      <c r="E14" s="328" t="s">
        <v>1679</v>
      </c>
      <c r="F14" s="329"/>
      <c r="G14" s="330"/>
      <c r="H14" s="319" t="s">
        <v>1678</v>
      </c>
      <c r="I14" s="320"/>
      <c r="J14" s="320"/>
      <c r="K14" s="320"/>
      <c r="L14" s="321"/>
      <c r="M14" s="325" t="s">
        <v>2203</v>
      </c>
      <c r="N14" s="326"/>
      <c r="O14" s="326"/>
      <c r="P14" s="326"/>
      <c r="Q14" s="326"/>
      <c r="R14" s="327"/>
      <c r="S14" s="322"/>
      <c r="T14" s="323"/>
      <c r="U14" s="324"/>
    </row>
    <row r="16" spans="1:61" ht="15">
      <c r="A16" s="1" t="s">
        <v>1739</v>
      </c>
      <c r="AC16" s="2" t="s">
        <v>2331</v>
      </c>
    </row>
    <row r="17" spans="3:27">
      <c r="C17" s="2" t="s">
        <v>1657</v>
      </c>
    </row>
    <row r="18" spans="3:27" ht="14.25" customHeight="1">
      <c r="D18" s="284" t="s">
        <v>2043</v>
      </c>
      <c r="E18" s="284"/>
      <c r="F18" s="284"/>
      <c r="G18" s="284"/>
      <c r="H18" s="284"/>
      <c r="I18" s="284"/>
      <c r="J18" s="284"/>
      <c r="K18" s="284"/>
      <c r="L18" s="284"/>
      <c r="M18" s="284"/>
      <c r="N18" s="284"/>
      <c r="O18" s="284"/>
      <c r="P18" s="284"/>
      <c r="Q18" s="284"/>
      <c r="R18" s="284"/>
      <c r="S18" s="284"/>
      <c r="T18" s="284"/>
    </row>
    <row r="19" spans="3:27">
      <c r="D19" s="284"/>
      <c r="E19" s="284"/>
      <c r="F19" s="284"/>
      <c r="G19" s="284"/>
      <c r="H19" s="284"/>
      <c r="I19" s="284"/>
      <c r="J19" s="284"/>
      <c r="K19" s="284"/>
      <c r="L19" s="284"/>
      <c r="M19" s="284"/>
      <c r="N19" s="284"/>
      <c r="O19" s="284"/>
      <c r="P19" s="284"/>
      <c r="Q19" s="284"/>
      <c r="R19" s="284"/>
      <c r="S19" s="284"/>
      <c r="T19" s="284"/>
    </row>
    <row r="20" spans="3:27">
      <c r="D20" s="284"/>
      <c r="E20" s="284"/>
      <c r="F20" s="284"/>
      <c r="G20" s="284"/>
      <c r="H20" s="284"/>
      <c r="I20" s="284"/>
      <c r="J20" s="284"/>
      <c r="K20" s="284"/>
      <c r="L20" s="284"/>
      <c r="M20" s="284"/>
      <c r="N20" s="284"/>
      <c r="O20" s="284"/>
      <c r="P20" s="284"/>
      <c r="Q20" s="284"/>
      <c r="R20" s="284"/>
      <c r="S20" s="284"/>
      <c r="T20" s="284"/>
    </row>
    <row r="21" spans="3:27">
      <c r="D21" s="11"/>
      <c r="E21" s="20" t="s">
        <v>2050</v>
      </c>
      <c r="F21" s="20"/>
      <c r="G21" s="11"/>
      <c r="H21" s="11"/>
      <c r="I21" s="11"/>
      <c r="J21" s="11"/>
      <c r="K21" s="11"/>
      <c r="L21" s="11"/>
      <c r="M21" s="11"/>
      <c r="N21" s="11"/>
      <c r="O21" s="11"/>
      <c r="P21" s="11"/>
      <c r="Q21" s="11"/>
      <c r="R21" s="11"/>
      <c r="S21" s="11"/>
      <c r="T21" s="11"/>
    </row>
    <row r="22" spans="3:27">
      <c r="D22" s="11"/>
      <c r="E22" s="11"/>
      <c r="F22" s="11"/>
      <c r="G22" s="20" t="s">
        <v>2044</v>
      </c>
      <c r="H22" s="11"/>
      <c r="I22" s="11"/>
      <c r="J22" s="11"/>
      <c r="K22" s="11"/>
      <c r="L22" s="11"/>
      <c r="M22" s="11"/>
      <c r="N22" s="11"/>
      <c r="O22" s="11"/>
      <c r="P22" s="11"/>
      <c r="Q22" s="11"/>
      <c r="R22" s="11"/>
      <c r="S22" s="11"/>
      <c r="T22" s="11"/>
    </row>
    <row r="23" spans="3:27" ht="14.25" customHeight="1">
      <c r="D23" s="11"/>
      <c r="E23" s="11"/>
      <c r="F23" s="11"/>
      <c r="G23" s="284" t="s">
        <v>2333</v>
      </c>
      <c r="H23" s="284"/>
      <c r="I23" s="284"/>
      <c r="J23" s="284"/>
      <c r="K23" s="284"/>
      <c r="L23" s="284"/>
      <c r="M23" s="284"/>
      <c r="N23" s="284"/>
      <c r="O23" s="284"/>
      <c r="P23" s="284"/>
      <c r="Q23" s="284"/>
      <c r="R23" s="284"/>
      <c r="S23" s="284"/>
      <c r="T23" s="284"/>
      <c r="U23" s="13"/>
      <c r="V23" s="13"/>
      <c r="W23" s="13"/>
      <c r="X23" s="13"/>
      <c r="Y23" s="20"/>
      <c r="Z23" s="20"/>
      <c r="AA23" s="20"/>
    </row>
    <row r="24" spans="3:27">
      <c r="D24" s="11"/>
      <c r="E24" s="11"/>
      <c r="F24" s="11"/>
      <c r="G24" s="284"/>
      <c r="H24" s="284"/>
      <c r="I24" s="284"/>
      <c r="J24" s="284"/>
      <c r="K24" s="284"/>
      <c r="L24" s="284"/>
      <c r="M24" s="284"/>
      <c r="N24" s="284"/>
      <c r="O24" s="284"/>
      <c r="P24" s="284"/>
      <c r="Q24" s="284"/>
      <c r="R24" s="284"/>
      <c r="S24" s="284"/>
      <c r="T24" s="284"/>
      <c r="U24" s="13"/>
      <c r="V24" s="13"/>
      <c r="W24" s="13"/>
      <c r="X24" s="13"/>
    </row>
    <row r="25" spans="3:27">
      <c r="E25" s="20" t="s">
        <v>2048</v>
      </c>
      <c r="F25" s="20"/>
      <c r="G25" s="11"/>
      <c r="H25" s="20"/>
      <c r="S25" s="11"/>
      <c r="T25" s="11"/>
    </row>
    <row r="26" spans="3:27">
      <c r="E26" s="11"/>
      <c r="F26" s="11"/>
      <c r="G26" s="20" t="s">
        <v>2330</v>
      </c>
      <c r="H26" s="20"/>
    </row>
    <row r="27" spans="3:27">
      <c r="E27" s="11"/>
      <c r="F27" s="11"/>
      <c r="G27" s="20" t="s">
        <v>2049</v>
      </c>
      <c r="H27" s="20"/>
    </row>
    <row r="28" spans="3:27">
      <c r="E28" s="20" t="s">
        <v>2045</v>
      </c>
      <c r="F28" s="20"/>
      <c r="G28" s="11"/>
      <c r="H28" s="20"/>
    </row>
    <row r="29" spans="3:27">
      <c r="E29" s="20"/>
      <c r="F29" s="20"/>
      <c r="G29" s="19" t="s">
        <v>2046</v>
      </c>
      <c r="H29" s="13"/>
    </row>
    <row r="30" spans="3:27">
      <c r="E30" s="20"/>
      <c r="F30" s="20"/>
      <c r="G30" s="19" t="s">
        <v>2047</v>
      </c>
      <c r="H30" s="13"/>
    </row>
    <row r="31" spans="3:27">
      <c r="C31" s="2" t="s">
        <v>2332</v>
      </c>
      <c r="D31" s="11"/>
      <c r="E31" s="11"/>
      <c r="F31" s="11"/>
      <c r="G31" s="11"/>
      <c r="H31" s="20"/>
      <c r="I31" s="11"/>
    </row>
    <row r="32" spans="3:27">
      <c r="D32" s="2" t="s">
        <v>2334</v>
      </c>
    </row>
    <row r="33" spans="5:29">
      <c r="E33" s="2" t="s">
        <v>2335</v>
      </c>
    </row>
    <row r="34" spans="5:29">
      <c r="F34" s="2" t="s">
        <v>2336</v>
      </c>
    </row>
    <row r="35" spans="5:29">
      <c r="G35" s="2" t="s">
        <v>2337</v>
      </c>
    </row>
    <row r="36" spans="5:29">
      <c r="G36" s="2" t="s">
        <v>2338</v>
      </c>
    </row>
    <row r="37" spans="5:29">
      <c r="G37" s="2" t="s">
        <v>2343</v>
      </c>
    </row>
    <row r="38" spans="5:29">
      <c r="F38" s="2" t="s">
        <v>2351</v>
      </c>
    </row>
    <row r="39" spans="5:29">
      <c r="G39" s="2" t="s">
        <v>2352</v>
      </c>
    </row>
    <row r="40" spans="5:29">
      <c r="H40" s="2" t="s">
        <v>2350</v>
      </c>
    </row>
    <row r="41" spans="5:29">
      <c r="I41" s="2" t="s">
        <v>2346</v>
      </c>
      <c r="J41" s="11"/>
      <c r="K41" s="11"/>
      <c r="L41" s="11"/>
      <c r="M41" s="11"/>
      <c r="N41" s="11"/>
      <c r="O41" s="11"/>
      <c r="P41" s="11"/>
      <c r="Q41" s="11"/>
      <c r="R41" s="11"/>
      <c r="S41" s="11"/>
      <c r="T41" s="11"/>
    </row>
    <row r="42" spans="5:29">
      <c r="I42" s="2" t="s">
        <v>2345</v>
      </c>
      <c r="J42" s="11"/>
      <c r="K42" s="11"/>
      <c r="L42" s="11"/>
      <c r="M42" s="11"/>
      <c r="N42" s="11"/>
      <c r="O42" s="11"/>
      <c r="P42" s="11"/>
      <c r="Q42" s="11"/>
      <c r="R42" s="11"/>
      <c r="S42" s="11"/>
      <c r="T42" s="11"/>
    </row>
    <row r="43" spans="5:29">
      <c r="I43" s="2" t="s">
        <v>2347</v>
      </c>
      <c r="J43" s="11"/>
      <c r="K43" s="11"/>
      <c r="L43" s="11"/>
      <c r="M43" s="11"/>
      <c r="N43" s="11"/>
      <c r="O43" s="11"/>
      <c r="P43" s="11"/>
      <c r="Q43" s="11"/>
      <c r="R43" s="11"/>
      <c r="S43" s="11"/>
      <c r="T43" s="11"/>
    </row>
    <row r="44" spans="5:29">
      <c r="I44" s="2" t="s">
        <v>2348</v>
      </c>
      <c r="J44" s="11"/>
      <c r="K44" s="11"/>
      <c r="L44" s="11"/>
      <c r="M44" s="11"/>
      <c r="N44" s="11"/>
      <c r="O44" s="11"/>
      <c r="P44" s="11"/>
      <c r="Q44" s="11"/>
      <c r="R44" s="11"/>
      <c r="S44" s="11"/>
      <c r="T44" s="11"/>
    </row>
    <row r="45" spans="5:29" ht="14.25" customHeight="1">
      <c r="H45" s="2" t="s">
        <v>2349</v>
      </c>
      <c r="J45" s="13"/>
      <c r="K45" s="13"/>
      <c r="L45" s="13"/>
      <c r="M45" s="13"/>
      <c r="N45" s="13"/>
      <c r="O45" s="13"/>
      <c r="P45" s="13"/>
      <c r="Q45" s="13"/>
      <c r="R45" s="13"/>
      <c r="S45" s="13"/>
      <c r="T45" s="13"/>
      <c r="U45" s="13"/>
      <c r="V45" s="13"/>
    </row>
    <row r="46" spans="5:29">
      <c r="G46" s="2" t="s">
        <v>2353</v>
      </c>
    </row>
    <row r="47" spans="5:29" ht="15">
      <c r="H47" s="2" t="s">
        <v>2354</v>
      </c>
      <c r="AC47"/>
    </row>
    <row r="48" spans="5:29">
      <c r="H48" s="2" t="s">
        <v>2355</v>
      </c>
    </row>
    <row r="49" spans="3:7">
      <c r="E49" s="2" t="s">
        <v>2357</v>
      </c>
    </row>
    <row r="50" spans="3:7">
      <c r="F50" s="2" t="s">
        <v>2339</v>
      </c>
    </row>
    <row r="51" spans="3:7">
      <c r="F51" s="2" t="s">
        <v>2340</v>
      </c>
    </row>
    <row r="52" spans="3:7">
      <c r="G52" s="2" t="s">
        <v>2341</v>
      </c>
    </row>
    <row r="53" spans="3:7">
      <c r="F53" s="2" t="s">
        <v>2342</v>
      </c>
    </row>
    <row r="54" spans="3:7">
      <c r="E54" s="2" t="s">
        <v>2358</v>
      </c>
    </row>
    <row r="55" spans="3:7">
      <c r="F55" s="2" t="s">
        <v>2359</v>
      </c>
    </row>
    <row r="56" spans="3:7">
      <c r="F56" s="2" t="s">
        <v>2360</v>
      </c>
    </row>
    <row r="57" spans="3:7">
      <c r="D57" s="2" t="s">
        <v>2361</v>
      </c>
    </row>
    <row r="58" spans="3:7">
      <c r="E58" s="2" t="s">
        <v>2362</v>
      </c>
    </row>
    <row r="59" spans="3:7">
      <c r="E59" s="2" t="s">
        <v>2363</v>
      </c>
    </row>
    <row r="60" spans="3:7">
      <c r="F60" s="2" t="s">
        <v>2364</v>
      </c>
    </row>
    <row r="61" spans="3:7">
      <c r="C61" s="2" t="s">
        <v>656</v>
      </c>
    </row>
    <row r="62" spans="3:7">
      <c r="D62" s="2" t="s">
        <v>1740</v>
      </c>
    </row>
    <row r="63" spans="3:7">
      <c r="E63" s="2" t="s">
        <v>1658</v>
      </c>
    </row>
    <row r="64" spans="3:7">
      <c r="E64" s="2" t="s">
        <v>1659</v>
      </c>
    </row>
    <row r="65" spans="3:27">
      <c r="D65" s="2" t="s">
        <v>1660</v>
      </c>
    </row>
    <row r="66" spans="3:27">
      <c r="C66" s="2" t="s">
        <v>1741</v>
      </c>
    </row>
    <row r="67" spans="3:27">
      <c r="D67" s="2" t="s">
        <v>1661</v>
      </c>
    </row>
    <row r="68" spans="3:27">
      <c r="E68" s="2" t="s">
        <v>1662</v>
      </c>
    </row>
    <row r="69" spans="3:27">
      <c r="E69" s="2" t="s">
        <v>1663</v>
      </c>
    </row>
    <row r="70" spans="3:27">
      <c r="G70" s="2" t="s">
        <v>2019</v>
      </c>
    </row>
    <row r="71" spans="3:27">
      <c r="D71" s="2" t="s">
        <v>1664</v>
      </c>
    </row>
    <row r="72" spans="3:27">
      <c r="E72" s="2" t="s">
        <v>2017</v>
      </c>
    </row>
    <row r="73" spans="3:27">
      <c r="E73" s="2" t="s">
        <v>2018</v>
      </c>
    </row>
    <row r="74" spans="3:27">
      <c r="C74" s="2" t="s">
        <v>1665</v>
      </c>
    </row>
    <row r="75" spans="3:27">
      <c r="D75" s="2" t="s">
        <v>1666</v>
      </c>
    </row>
    <row r="76" spans="3:27">
      <c r="E76" s="2" t="s">
        <v>1667</v>
      </c>
    </row>
    <row r="77" spans="3:27">
      <c r="E77" s="2" t="s">
        <v>1717</v>
      </c>
    </row>
    <row r="78" spans="3:27" ht="14.25" customHeight="1">
      <c r="G78" s="284" t="s">
        <v>1706</v>
      </c>
      <c r="H78" s="284"/>
      <c r="I78" s="284"/>
      <c r="J78" s="284"/>
      <c r="K78" s="284"/>
      <c r="L78" s="284"/>
      <c r="M78" s="284"/>
      <c r="N78" s="284"/>
      <c r="O78" s="284"/>
      <c r="P78" s="284"/>
      <c r="Q78" s="284"/>
      <c r="R78" s="284"/>
      <c r="S78" s="284"/>
      <c r="T78" s="284"/>
      <c r="U78" s="284"/>
      <c r="V78" s="284"/>
      <c r="W78" s="284"/>
      <c r="X78" s="284"/>
      <c r="Y78" s="13"/>
      <c r="Z78" s="13"/>
      <c r="AA78" s="13"/>
    </row>
    <row r="79" spans="3:27">
      <c r="G79" s="284"/>
      <c r="H79" s="284"/>
      <c r="I79" s="284"/>
      <c r="J79" s="284"/>
      <c r="K79" s="284"/>
      <c r="L79" s="284"/>
      <c r="M79" s="284"/>
      <c r="N79" s="284"/>
      <c r="O79" s="284"/>
      <c r="P79" s="284"/>
      <c r="Q79" s="284"/>
      <c r="R79" s="284"/>
      <c r="S79" s="284"/>
      <c r="T79" s="284"/>
      <c r="U79" s="284"/>
      <c r="V79" s="284"/>
      <c r="W79" s="284"/>
      <c r="X79" s="284"/>
      <c r="Y79" s="13"/>
      <c r="Z79" s="13"/>
      <c r="AA79" s="13"/>
    </row>
    <row r="80" spans="3:27">
      <c r="G80" s="284"/>
      <c r="H80" s="284"/>
      <c r="I80" s="284"/>
      <c r="J80" s="284"/>
      <c r="K80" s="284"/>
      <c r="L80" s="284"/>
      <c r="M80" s="284"/>
      <c r="N80" s="284"/>
      <c r="O80" s="284"/>
      <c r="P80" s="284"/>
      <c r="Q80" s="284"/>
      <c r="R80" s="284"/>
      <c r="S80" s="284"/>
      <c r="T80" s="284"/>
      <c r="U80" s="284"/>
      <c r="V80" s="284"/>
      <c r="W80" s="284"/>
      <c r="X80" s="284"/>
      <c r="Y80" s="13"/>
      <c r="Z80" s="13"/>
      <c r="AA80" s="13"/>
    </row>
    <row r="81" spans="3:23">
      <c r="E81" s="2" t="s">
        <v>1668</v>
      </c>
    </row>
    <row r="82" spans="3:23" ht="14.25" customHeight="1">
      <c r="G82" s="284" t="s">
        <v>1707</v>
      </c>
      <c r="H82" s="284"/>
      <c r="I82" s="284"/>
      <c r="J82" s="284"/>
      <c r="K82" s="284"/>
      <c r="L82" s="284"/>
      <c r="M82" s="284"/>
      <c r="N82" s="284"/>
      <c r="O82" s="284"/>
      <c r="P82" s="284"/>
      <c r="Q82" s="284"/>
      <c r="R82" s="284"/>
      <c r="S82" s="284"/>
      <c r="T82" s="284"/>
      <c r="U82" s="284"/>
      <c r="V82" s="284"/>
      <c r="W82" s="284"/>
    </row>
    <row r="83" spans="3:23">
      <c r="G83" s="284"/>
      <c r="H83" s="284"/>
      <c r="I83" s="284"/>
      <c r="J83" s="284"/>
      <c r="K83" s="284"/>
      <c r="L83" s="284"/>
      <c r="M83" s="284"/>
      <c r="N83" s="284"/>
      <c r="O83" s="284"/>
      <c r="P83" s="284"/>
      <c r="Q83" s="284"/>
      <c r="R83" s="284"/>
      <c r="S83" s="284"/>
      <c r="T83" s="284"/>
      <c r="U83" s="284"/>
      <c r="V83" s="284"/>
      <c r="W83" s="284"/>
    </row>
    <row r="84" spans="3:23">
      <c r="D84" s="2" t="s">
        <v>1669</v>
      </c>
      <c r="G84" s="13"/>
      <c r="H84" s="13"/>
      <c r="I84" s="13"/>
      <c r="J84" s="13"/>
      <c r="K84" s="13"/>
      <c r="L84" s="13"/>
      <c r="M84" s="13"/>
      <c r="N84" s="13"/>
      <c r="O84" s="13"/>
      <c r="P84" s="13"/>
      <c r="Q84" s="13"/>
      <c r="R84" s="13"/>
      <c r="S84" s="13"/>
      <c r="T84" s="13"/>
      <c r="U84" s="13"/>
      <c r="V84" s="13"/>
      <c r="W84" s="13"/>
    </row>
    <row r="85" spans="3:23">
      <c r="E85" s="2" t="s">
        <v>1708</v>
      </c>
      <c r="G85" s="13"/>
      <c r="H85" s="13"/>
      <c r="I85" s="13"/>
      <c r="J85" s="13"/>
      <c r="K85" s="13"/>
      <c r="L85" s="13"/>
      <c r="M85" s="13"/>
      <c r="N85" s="13"/>
      <c r="O85" s="13"/>
      <c r="P85" s="13"/>
      <c r="Q85" s="13"/>
      <c r="R85" s="13"/>
      <c r="S85" s="13"/>
      <c r="T85" s="13"/>
      <c r="U85" s="13"/>
      <c r="V85" s="13"/>
      <c r="W85" s="13"/>
    </row>
    <row r="86" spans="3:23">
      <c r="D86" s="2" t="s">
        <v>1670</v>
      </c>
    </row>
    <row r="87" spans="3:23">
      <c r="C87" s="2" t="s">
        <v>1671</v>
      </c>
    </row>
    <row r="88" spans="3:23">
      <c r="D88" s="284" t="s">
        <v>2051</v>
      </c>
      <c r="E88" s="284"/>
      <c r="F88" s="284"/>
      <c r="G88" s="284"/>
      <c r="H88" s="284"/>
      <c r="I88" s="284"/>
      <c r="J88" s="284"/>
      <c r="K88" s="284"/>
      <c r="L88" s="284"/>
      <c r="M88" s="284"/>
      <c r="N88" s="284"/>
      <c r="O88" s="284"/>
      <c r="P88" s="284"/>
      <c r="Q88" s="284"/>
      <c r="R88" s="284"/>
      <c r="S88" s="284"/>
      <c r="T88" s="284"/>
      <c r="U88" s="284"/>
      <c r="V88" s="284"/>
      <c r="W88" s="284"/>
    </row>
    <row r="89" spans="3:23">
      <c r="D89" s="284"/>
      <c r="E89" s="284"/>
      <c r="F89" s="284"/>
      <c r="G89" s="284"/>
      <c r="H89" s="284"/>
      <c r="I89" s="284"/>
      <c r="J89" s="284"/>
      <c r="K89" s="284"/>
      <c r="L89" s="284"/>
      <c r="M89" s="284"/>
      <c r="N89" s="284"/>
      <c r="O89" s="284"/>
      <c r="P89" s="284"/>
      <c r="Q89" s="284"/>
      <c r="R89" s="284"/>
      <c r="S89" s="284"/>
      <c r="T89" s="284"/>
      <c r="U89" s="284"/>
      <c r="V89" s="284"/>
      <c r="W89" s="284"/>
    </row>
    <row r="90" spans="3:23">
      <c r="E90" s="2" t="s">
        <v>1673</v>
      </c>
    </row>
    <row r="91" spans="3:23">
      <c r="D91" s="2" t="s">
        <v>1672</v>
      </c>
    </row>
    <row r="92" spans="3:23">
      <c r="C92" s="2" t="s">
        <v>1674</v>
      </c>
      <c r="H92" s="2" t="s">
        <v>1636</v>
      </c>
      <c r="I92" s="36" t="s">
        <v>1696</v>
      </c>
      <c r="J92" s="10"/>
    </row>
    <row r="93" spans="3:23">
      <c r="D93" s="2" t="s">
        <v>2052</v>
      </c>
      <c r="I93" s="10"/>
      <c r="J93" s="10"/>
    </row>
    <row r="94" spans="3:23">
      <c r="E94" s="2" t="s">
        <v>1675</v>
      </c>
    </row>
    <row r="95" spans="3:23">
      <c r="G95" s="2" t="s">
        <v>1676</v>
      </c>
    </row>
    <row r="96" spans="3:23">
      <c r="G96" s="2" t="s">
        <v>1677</v>
      </c>
    </row>
    <row r="97" spans="1:38" ht="14.25" customHeight="1">
      <c r="H97" s="284" t="s">
        <v>1714</v>
      </c>
      <c r="I97" s="284"/>
      <c r="J97" s="284"/>
      <c r="K97" s="284"/>
      <c r="L97" s="284"/>
      <c r="M97" s="284"/>
      <c r="N97" s="284"/>
      <c r="O97" s="284"/>
      <c r="P97" s="284"/>
      <c r="Q97" s="284"/>
      <c r="R97" s="284"/>
      <c r="S97" s="284"/>
      <c r="T97" s="284"/>
      <c r="U97" s="284"/>
      <c r="V97" s="284"/>
      <c r="W97" s="284"/>
      <c r="X97" s="12"/>
      <c r="Y97" s="12"/>
      <c r="Z97" s="12"/>
    </row>
    <row r="98" spans="1:38">
      <c r="H98" s="284"/>
      <c r="I98" s="284"/>
      <c r="J98" s="284"/>
      <c r="K98" s="284"/>
      <c r="L98" s="284"/>
      <c r="M98" s="284"/>
      <c r="N98" s="284"/>
      <c r="O98" s="284"/>
      <c r="P98" s="284"/>
      <c r="Q98" s="284"/>
      <c r="R98" s="284"/>
      <c r="S98" s="284"/>
      <c r="T98" s="284"/>
      <c r="U98" s="284"/>
      <c r="V98" s="284"/>
      <c r="W98" s="284"/>
      <c r="X98" s="12"/>
      <c r="Y98" s="12"/>
      <c r="Z98" s="12"/>
    </row>
    <row r="99" spans="1:38">
      <c r="B99" s="2" t="s">
        <v>2262</v>
      </c>
    </row>
    <row r="100" spans="1:38">
      <c r="C100" s="2" t="s">
        <v>2263</v>
      </c>
    </row>
    <row r="101" spans="1:38">
      <c r="D101" s="2" t="s">
        <v>2271</v>
      </c>
    </row>
    <row r="102" spans="1:38">
      <c r="D102" s="2" t="s">
        <v>2264</v>
      </c>
    </row>
    <row r="103" spans="1:38">
      <c r="E103" s="2" t="s">
        <v>2265</v>
      </c>
    </row>
    <row r="104" spans="1:38">
      <c r="E104" s="2" t="s">
        <v>2266</v>
      </c>
    </row>
    <row r="105" spans="1:38" ht="14.25" customHeight="1">
      <c r="F105" s="2" t="s">
        <v>2267</v>
      </c>
      <c r="X105" s="13"/>
      <c r="Y105" s="13"/>
      <c r="Z105" s="13"/>
      <c r="AA105" s="13"/>
    </row>
    <row r="106" spans="1:38">
      <c r="G106" s="2" t="s">
        <v>2272</v>
      </c>
      <c r="X106" s="13"/>
      <c r="Y106" s="13"/>
      <c r="Z106" s="13"/>
      <c r="AA106" s="13"/>
    </row>
    <row r="107" spans="1:38">
      <c r="E107" s="2" t="s">
        <v>2356</v>
      </c>
    </row>
    <row r="108" spans="1:38">
      <c r="F108" s="2" t="s">
        <v>2268</v>
      </c>
    </row>
    <row r="109" spans="1:38" ht="14.25" customHeight="1">
      <c r="E109" s="2" t="s">
        <v>2269</v>
      </c>
    </row>
    <row r="110" spans="1:38">
      <c r="F110" s="2" t="s">
        <v>2270</v>
      </c>
    </row>
    <row r="112" spans="1:38" ht="15">
      <c r="A112" s="1" t="s">
        <v>1742</v>
      </c>
      <c r="I112" s="17"/>
      <c r="J112" s="17"/>
      <c r="K112" s="17"/>
      <c r="L112" s="17"/>
      <c r="M112" s="17"/>
      <c r="N112" s="17"/>
      <c r="O112" s="17"/>
      <c r="P112" s="17"/>
      <c r="Q112" s="17"/>
      <c r="R112" s="17"/>
      <c r="S112" s="17"/>
      <c r="T112" s="17"/>
      <c r="U112" s="17"/>
      <c r="V112" s="17"/>
      <c r="W112" s="17"/>
      <c r="AB112" s="1" t="s">
        <v>2101</v>
      </c>
      <c r="AL112" s="36" t="s">
        <v>2104</v>
      </c>
    </row>
    <row r="113" spans="3:40">
      <c r="C113" s="2" t="s">
        <v>1709</v>
      </c>
      <c r="I113" s="17"/>
      <c r="J113" s="17"/>
      <c r="K113" s="17"/>
      <c r="L113" s="17"/>
      <c r="M113" s="17"/>
      <c r="N113" s="17"/>
      <c r="O113" s="17"/>
      <c r="P113" s="17"/>
      <c r="Q113" s="17"/>
      <c r="R113" s="17"/>
      <c r="S113" s="17"/>
      <c r="T113" s="17"/>
      <c r="U113" s="17"/>
      <c r="V113" s="17"/>
      <c r="W113" s="17"/>
      <c r="AC113" s="2" t="s">
        <v>2100</v>
      </c>
      <c r="AL113" s="36" t="s">
        <v>2103</v>
      </c>
    </row>
    <row r="114" spans="3:40" ht="15">
      <c r="C114" s="2" t="s">
        <v>1711</v>
      </c>
      <c r="AC114" s="2" t="s">
        <v>2118</v>
      </c>
      <c r="AM114" s="9"/>
      <c r="AN114" s="2" t="s">
        <v>2119</v>
      </c>
    </row>
    <row r="115" spans="3:40" ht="15">
      <c r="D115" s="2" t="s">
        <v>1743</v>
      </c>
      <c r="AB115" s="1" t="s">
        <v>2102</v>
      </c>
    </row>
    <row r="116" spans="3:40" ht="15">
      <c r="C116" s="1" t="s">
        <v>1712</v>
      </c>
      <c r="AC116" s="2" t="s">
        <v>2107</v>
      </c>
    </row>
    <row r="117" spans="3:40">
      <c r="D117" s="2" t="s">
        <v>1713</v>
      </c>
      <c r="AD117" s="2" t="s">
        <v>2108</v>
      </c>
    </row>
    <row r="118" spans="3:40">
      <c r="C118" s="284" t="s">
        <v>2002</v>
      </c>
      <c r="D118" s="284"/>
      <c r="E118" s="284"/>
      <c r="F118" s="284"/>
      <c r="G118" s="284"/>
      <c r="H118" s="284"/>
      <c r="I118" s="284"/>
      <c r="J118" s="284"/>
      <c r="K118" s="284"/>
      <c r="L118" s="284"/>
      <c r="M118" s="284"/>
      <c r="N118" s="284"/>
      <c r="O118" s="284"/>
      <c r="P118" s="284"/>
      <c r="Q118" s="284"/>
      <c r="R118" s="284"/>
      <c r="S118" s="284"/>
      <c r="T118" s="284"/>
      <c r="U118" s="284"/>
      <c r="V118" s="13"/>
      <c r="W118" s="13"/>
      <c r="AE118" s="2" t="s">
        <v>2109</v>
      </c>
    </row>
    <row r="119" spans="3:40">
      <c r="C119" s="284"/>
      <c r="D119" s="284"/>
      <c r="E119" s="284"/>
      <c r="F119" s="284"/>
      <c r="G119" s="284"/>
      <c r="H119" s="284"/>
      <c r="I119" s="284"/>
      <c r="J119" s="284"/>
      <c r="K119" s="284"/>
      <c r="L119" s="284"/>
      <c r="M119" s="284"/>
      <c r="N119" s="284"/>
      <c r="O119" s="284"/>
      <c r="P119" s="284"/>
      <c r="Q119" s="284"/>
      <c r="R119" s="284"/>
      <c r="S119" s="284"/>
      <c r="T119" s="284"/>
      <c r="U119" s="284"/>
      <c r="V119" s="13"/>
      <c r="W119" s="13"/>
      <c r="AE119" s="2" t="s">
        <v>2112</v>
      </c>
    </row>
    <row r="120" spans="3:40">
      <c r="C120" s="284" t="s">
        <v>2003</v>
      </c>
      <c r="D120" s="284"/>
      <c r="E120" s="284"/>
      <c r="F120" s="284"/>
      <c r="G120" s="284"/>
      <c r="H120" s="284"/>
      <c r="I120" s="284"/>
      <c r="J120" s="284"/>
      <c r="K120" s="284"/>
      <c r="L120" s="284"/>
      <c r="M120" s="284"/>
      <c r="N120" s="284"/>
      <c r="O120" s="284"/>
      <c r="P120" s="284"/>
      <c r="Q120" s="284"/>
      <c r="R120" s="284"/>
      <c r="S120" s="284"/>
      <c r="T120" s="284"/>
      <c r="U120" s="284"/>
      <c r="AE120" s="2" t="s">
        <v>2110</v>
      </c>
    </row>
    <row r="121" spans="3:40">
      <c r="C121" s="284"/>
      <c r="D121" s="284"/>
      <c r="E121" s="284"/>
      <c r="F121" s="284"/>
      <c r="G121" s="284"/>
      <c r="H121" s="284"/>
      <c r="I121" s="284"/>
      <c r="J121" s="284"/>
      <c r="K121" s="284"/>
      <c r="L121" s="284"/>
      <c r="M121" s="284"/>
      <c r="N121" s="284"/>
      <c r="O121" s="284"/>
      <c r="P121" s="284"/>
      <c r="Q121" s="284"/>
      <c r="R121" s="284"/>
      <c r="S121" s="284"/>
      <c r="T121" s="284"/>
      <c r="U121" s="284"/>
      <c r="AF121" s="2" t="s">
        <v>2111</v>
      </c>
    </row>
    <row r="122" spans="3:40">
      <c r="C122" s="284" t="s">
        <v>2004</v>
      </c>
      <c r="D122" s="284"/>
      <c r="E122" s="284"/>
      <c r="F122" s="284"/>
      <c r="G122" s="284"/>
      <c r="H122" s="284"/>
      <c r="I122" s="284"/>
      <c r="J122" s="284"/>
      <c r="K122" s="284"/>
      <c r="L122" s="284"/>
      <c r="M122" s="284"/>
      <c r="N122" s="284"/>
      <c r="O122" s="284"/>
      <c r="P122" s="284"/>
      <c r="Q122" s="284"/>
      <c r="R122" s="284"/>
      <c r="S122" s="284"/>
      <c r="T122" s="284"/>
      <c r="U122" s="284"/>
      <c r="V122" s="284"/>
      <c r="W122" s="284"/>
      <c r="AD122" s="2" t="s">
        <v>2113</v>
      </c>
    </row>
    <row r="123" spans="3:40">
      <c r="C123" s="284"/>
      <c r="D123" s="284"/>
      <c r="E123" s="284"/>
      <c r="F123" s="284"/>
      <c r="G123" s="284"/>
      <c r="H123" s="284"/>
      <c r="I123" s="284"/>
      <c r="J123" s="284"/>
      <c r="K123" s="284"/>
      <c r="L123" s="284"/>
      <c r="M123" s="284"/>
      <c r="N123" s="284"/>
      <c r="O123" s="284"/>
      <c r="P123" s="284"/>
      <c r="Q123" s="284"/>
      <c r="R123" s="284"/>
      <c r="S123" s="284"/>
      <c r="T123" s="284"/>
      <c r="U123" s="284"/>
      <c r="V123" s="284"/>
      <c r="W123" s="284"/>
      <c r="AD123" s="2" t="s">
        <v>2114</v>
      </c>
    </row>
    <row r="124" spans="3:40">
      <c r="C124" s="19" t="s">
        <v>2005</v>
      </c>
      <c r="D124" s="13"/>
      <c r="E124" s="13"/>
      <c r="F124" s="13"/>
      <c r="G124" s="13"/>
      <c r="H124" s="13"/>
      <c r="I124" s="13"/>
      <c r="J124" s="13"/>
      <c r="K124" s="13"/>
      <c r="L124" s="13"/>
      <c r="M124" s="13"/>
      <c r="N124" s="13"/>
      <c r="O124" s="13"/>
      <c r="P124" s="13"/>
      <c r="Q124" s="13"/>
      <c r="R124" s="13"/>
      <c r="S124" s="13"/>
      <c r="T124" s="13"/>
      <c r="U124" s="13"/>
      <c r="AE124" s="2" t="s">
        <v>2115</v>
      </c>
    </row>
    <row r="125" spans="3:40">
      <c r="D125" s="2" t="s">
        <v>2006</v>
      </c>
      <c r="AE125" s="2" t="s">
        <v>2116</v>
      </c>
    </row>
    <row r="126" spans="3:40">
      <c r="AE126" s="2" t="s">
        <v>2117</v>
      </c>
    </row>
  </sheetData>
  <mergeCells count="54">
    <mergeCell ref="G78:X80"/>
    <mergeCell ref="H97:W98"/>
    <mergeCell ref="E14:G14"/>
    <mergeCell ref="D18:T20"/>
    <mergeCell ref="G23:T24"/>
    <mergeCell ref="E6:G6"/>
    <mergeCell ref="E7:G7"/>
    <mergeCell ref="M8:R8"/>
    <mergeCell ref="E12:G12"/>
    <mergeCell ref="E10:G10"/>
    <mergeCell ref="E11:G11"/>
    <mergeCell ref="H7:L7"/>
    <mergeCell ref="H6:L6"/>
    <mergeCell ref="M10:R10"/>
    <mergeCell ref="M12:R12"/>
    <mergeCell ref="M11:R11"/>
    <mergeCell ref="H9:L9"/>
    <mergeCell ref="E13:G13"/>
    <mergeCell ref="S9:U9"/>
    <mergeCell ref="H13:L13"/>
    <mergeCell ref="H14:L14"/>
    <mergeCell ref="M13:R13"/>
    <mergeCell ref="S14:U14"/>
    <mergeCell ref="E9:G9"/>
    <mergeCell ref="M9:R9"/>
    <mergeCell ref="M14:R14"/>
    <mergeCell ref="H12:L12"/>
    <mergeCell ref="H10:L10"/>
    <mergeCell ref="H11:L11"/>
    <mergeCell ref="S13:U13"/>
    <mergeCell ref="S10:U10"/>
    <mergeCell ref="S11:U11"/>
    <mergeCell ref="S12:U12"/>
    <mergeCell ref="C118:U119"/>
    <mergeCell ref="C120:U121"/>
    <mergeCell ref="C122:W123"/>
    <mergeCell ref="G82:W83"/>
    <mergeCell ref="D88:W89"/>
    <mergeCell ref="B4:D4"/>
    <mergeCell ref="H4:L4"/>
    <mergeCell ref="M4:R4"/>
    <mergeCell ref="S4:U4"/>
    <mergeCell ref="E8:G8"/>
    <mergeCell ref="E4:G4"/>
    <mergeCell ref="H5:L5"/>
    <mergeCell ref="M7:R7"/>
    <mergeCell ref="M6:R6"/>
    <mergeCell ref="M5:R5"/>
    <mergeCell ref="S5:U5"/>
    <mergeCell ref="H8:L8"/>
    <mergeCell ref="S8:U8"/>
    <mergeCell ref="S7:U7"/>
    <mergeCell ref="S6:U6"/>
    <mergeCell ref="E5:G5"/>
  </mergeCells>
  <hyperlinks>
    <hyperlink ref="I92" r:id="rId1" xr:uid="{C936365B-A3D9-4288-93E8-074F7DBA9E98}"/>
    <hyperlink ref="H2" r:id="rId2" xr:uid="{292E3A1F-64E5-4706-8255-067C7D094DEE}"/>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A937-DFAC-48C7-BA2F-CC83B6FD4142}">
  <dimension ref="A1:AZ33"/>
  <sheetViews>
    <sheetView zoomScale="85" zoomScaleNormal="85" workbookViewId="0"/>
  </sheetViews>
  <sheetFormatPr defaultColWidth="9.140625" defaultRowHeight="14.25"/>
  <cols>
    <col min="1" max="1" width="3" style="2" customWidth="1"/>
    <col min="2" max="5" width="9.140625" style="2"/>
    <col min="6" max="7" width="14.85546875" style="2" customWidth="1"/>
    <col min="8" max="11" width="11.42578125" style="2" customWidth="1"/>
    <col min="12" max="17" width="21.140625" style="2" customWidth="1"/>
    <col min="18" max="22" width="7.85546875" style="2" customWidth="1"/>
    <col min="23" max="23" width="2.85546875" style="2" customWidth="1"/>
    <col min="24" max="16384" width="9.140625" style="2"/>
  </cols>
  <sheetData>
    <row r="1" spans="1:52">
      <c r="AZ1" s="2">
        <v>0</v>
      </c>
    </row>
    <row r="2" spans="1:52" ht="15">
      <c r="A2" s="1" t="s">
        <v>1719</v>
      </c>
      <c r="F2" s="36" t="s">
        <v>1716</v>
      </c>
    </row>
    <row r="4" spans="1:52" ht="15">
      <c r="B4" s="5" t="s">
        <v>1687</v>
      </c>
      <c r="C4" s="15"/>
      <c r="D4" s="15"/>
      <c r="E4" s="6"/>
      <c r="F4" s="297" t="s">
        <v>1686</v>
      </c>
      <c r="G4" s="297"/>
      <c r="H4" s="18" t="s">
        <v>1745</v>
      </c>
      <c r="I4" s="4"/>
      <c r="J4" s="8"/>
      <c r="K4" s="7"/>
      <c r="L4" s="3" t="s">
        <v>1710</v>
      </c>
      <c r="M4" s="8"/>
      <c r="N4" s="4"/>
      <c r="O4" s="4"/>
      <c r="P4" s="8"/>
      <c r="Q4" s="14"/>
      <c r="R4" s="3" t="s">
        <v>2133</v>
      </c>
      <c r="S4" s="4"/>
      <c r="T4" s="8"/>
      <c r="U4" s="14"/>
    </row>
    <row r="5" spans="1:52" ht="90" customHeight="1">
      <c r="B5" s="377" t="s">
        <v>2188</v>
      </c>
      <c r="C5" s="378"/>
      <c r="D5" s="378"/>
      <c r="E5" s="379"/>
      <c r="F5" s="365" t="s">
        <v>2157</v>
      </c>
      <c r="G5" s="367"/>
      <c r="H5" s="365" t="s">
        <v>2153</v>
      </c>
      <c r="I5" s="366"/>
      <c r="J5" s="366"/>
      <c r="K5" s="367"/>
      <c r="L5" s="368" t="s">
        <v>2159</v>
      </c>
      <c r="M5" s="369"/>
      <c r="N5" s="369"/>
      <c r="O5" s="369"/>
      <c r="P5" s="369"/>
      <c r="Q5" s="370"/>
      <c r="R5" s="356"/>
      <c r="S5" s="357"/>
      <c r="T5" s="357"/>
      <c r="U5" s="358"/>
      <c r="AL5" s="12"/>
      <c r="AM5" s="12"/>
      <c r="AN5" s="12"/>
      <c r="AO5" s="12"/>
      <c r="AP5" s="12"/>
      <c r="AQ5" s="12"/>
      <c r="AR5" s="17"/>
      <c r="AS5" s="17"/>
    </row>
    <row r="6" spans="1:52" ht="87" customHeight="1">
      <c r="B6" s="346" t="s">
        <v>1725</v>
      </c>
      <c r="C6" s="347"/>
      <c r="D6" s="347"/>
      <c r="E6" s="348"/>
      <c r="F6" s="371" t="s">
        <v>2161</v>
      </c>
      <c r="G6" s="372"/>
      <c r="H6" s="362" t="s">
        <v>2192</v>
      </c>
      <c r="I6" s="363"/>
      <c r="J6" s="363"/>
      <c r="K6" s="364"/>
      <c r="L6" s="380" t="s">
        <v>2160</v>
      </c>
      <c r="M6" s="381"/>
      <c r="N6" s="381"/>
      <c r="O6" s="381"/>
      <c r="P6" s="381"/>
      <c r="Q6" s="382"/>
      <c r="R6" s="349"/>
      <c r="S6" s="350"/>
      <c r="T6" s="351"/>
      <c r="U6" s="352"/>
      <c r="AL6" s="12"/>
      <c r="AM6" s="12"/>
      <c r="AN6" s="12"/>
      <c r="AO6" s="12"/>
      <c r="AP6" s="12"/>
      <c r="AQ6" s="12"/>
      <c r="AR6" s="17"/>
      <c r="AS6" s="17"/>
    </row>
    <row r="7" spans="1:52" ht="60" customHeight="1">
      <c r="B7" s="346" t="s">
        <v>2151</v>
      </c>
      <c r="C7" s="347"/>
      <c r="D7" s="347"/>
      <c r="E7" s="348"/>
      <c r="F7" s="373" t="s">
        <v>2182</v>
      </c>
      <c r="G7" s="374"/>
      <c r="H7" s="359" t="s">
        <v>2152</v>
      </c>
      <c r="I7" s="360"/>
      <c r="J7" s="360"/>
      <c r="K7" s="361"/>
      <c r="L7" s="353" t="s">
        <v>2171</v>
      </c>
      <c r="M7" s="354"/>
      <c r="N7" s="354"/>
      <c r="O7" s="354"/>
      <c r="P7" s="354"/>
      <c r="Q7" s="355"/>
      <c r="R7" s="353"/>
      <c r="S7" s="354"/>
      <c r="T7" s="354"/>
      <c r="U7" s="355"/>
      <c r="AL7" s="12"/>
      <c r="AM7" s="12"/>
      <c r="AN7" s="12"/>
      <c r="AO7" s="12"/>
      <c r="AP7" s="12"/>
      <c r="AQ7" s="12"/>
      <c r="AR7" s="17"/>
      <c r="AS7" s="17"/>
    </row>
    <row r="8" spans="1:52" ht="59.25" customHeight="1">
      <c r="B8" s="346" t="s">
        <v>1723</v>
      </c>
      <c r="C8" s="347"/>
      <c r="D8" s="347"/>
      <c r="E8" s="348"/>
      <c r="F8" s="375" t="s">
        <v>2182</v>
      </c>
      <c r="G8" s="376"/>
      <c r="H8" s="337" t="s">
        <v>2156</v>
      </c>
      <c r="I8" s="338"/>
      <c r="J8" s="338"/>
      <c r="K8" s="339"/>
      <c r="L8" s="380" t="s">
        <v>2172</v>
      </c>
      <c r="M8" s="381"/>
      <c r="N8" s="381"/>
      <c r="O8" s="381"/>
      <c r="P8" s="381"/>
      <c r="Q8" s="382"/>
      <c r="R8" s="270"/>
      <c r="S8" s="271"/>
      <c r="T8" s="271"/>
      <c r="U8" s="272"/>
    </row>
    <row r="9" spans="1:52" ht="45" customHeight="1">
      <c r="B9" s="346" t="s">
        <v>378</v>
      </c>
      <c r="C9" s="347"/>
      <c r="D9" s="347"/>
      <c r="E9" s="348"/>
      <c r="F9" s="373">
        <v>2017</v>
      </c>
      <c r="G9" s="374"/>
      <c r="H9" s="340" t="s">
        <v>2173</v>
      </c>
      <c r="I9" s="341"/>
      <c r="J9" s="341"/>
      <c r="K9" s="342"/>
      <c r="L9" s="353" t="s">
        <v>2174</v>
      </c>
      <c r="M9" s="354"/>
      <c r="N9" s="354"/>
      <c r="O9" s="354"/>
      <c r="P9" s="354"/>
      <c r="Q9" s="355"/>
      <c r="R9" s="279"/>
      <c r="S9" s="280"/>
      <c r="T9" s="280"/>
      <c r="U9" s="281"/>
    </row>
    <row r="10" spans="1:52" ht="45.75" customHeight="1">
      <c r="B10" s="346" t="s">
        <v>1724</v>
      </c>
      <c r="C10" s="347"/>
      <c r="D10" s="347"/>
      <c r="E10" s="348"/>
      <c r="F10" s="375" t="s">
        <v>1679</v>
      </c>
      <c r="G10" s="376"/>
      <c r="H10" s="337"/>
      <c r="I10" s="338"/>
      <c r="J10" s="338"/>
      <c r="K10" s="339"/>
      <c r="L10" s="270"/>
      <c r="M10" s="271"/>
      <c r="N10" s="271"/>
      <c r="O10" s="271"/>
      <c r="P10" s="271"/>
      <c r="Q10" s="272"/>
      <c r="R10" s="270"/>
      <c r="S10" s="271"/>
      <c r="T10" s="271"/>
      <c r="U10" s="272"/>
      <c r="AL10" s="12"/>
      <c r="AM10" s="12"/>
      <c r="AN10" s="12"/>
      <c r="AO10" s="12"/>
      <c r="AP10" s="12"/>
      <c r="AQ10" s="12"/>
    </row>
    <row r="11" spans="1:52" ht="45" customHeight="1">
      <c r="B11" s="334" t="s">
        <v>2158</v>
      </c>
      <c r="C11" s="335"/>
      <c r="D11" s="335"/>
      <c r="E11" s="336"/>
      <c r="F11" s="383" t="s">
        <v>2198</v>
      </c>
      <c r="G11" s="384"/>
      <c r="H11" s="343" t="s">
        <v>1726</v>
      </c>
      <c r="I11" s="344"/>
      <c r="J11" s="344"/>
      <c r="K11" s="345"/>
      <c r="L11" s="343" t="s">
        <v>2176</v>
      </c>
      <c r="M11" s="344"/>
      <c r="N11" s="344"/>
      <c r="O11" s="344"/>
      <c r="P11" s="344"/>
      <c r="Q11" s="345"/>
      <c r="R11" s="331"/>
      <c r="S11" s="332"/>
      <c r="T11" s="332"/>
      <c r="U11" s="333"/>
      <c r="AL11" s="12"/>
      <c r="AM11" s="12"/>
      <c r="AN11" s="12"/>
      <c r="AO11" s="12"/>
      <c r="AP11" s="12"/>
      <c r="AQ11" s="12"/>
    </row>
    <row r="13" spans="1:52" ht="15">
      <c r="B13" s="1" t="s">
        <v>1720</v>
      </c>
      <c r="W13" s="34" t="s">
        <v>1727</v>
      </c>
      <c r="X13" s="20"/>
      <c r="Y13" s="20"/>
      <c r="Z13" s="20"/>
      <c r="AA13" s="20"/>
      <c r="AB13" s="20"/>
      <c r="AC13" s="20"/>
      <c r="AD13" s="20"/>
      <c r="AE13" s="20"/>
      <c r="AF13" s="20"/>
      <c r="AG13" s="20"/>
      <c r="AH13" s="20"/>
      <c r="AI13" s="20"/>
    </row>
    <row r="14" spans="1:52" ht="15">
      <c r="C14" s="2" t="s">
        <v>2053</v>
      </c>
      <c r="W14" s="20"/>
      <c r="X14" s="20" t="s">
        <v>2344</v>
      </c>
      <c r="Y14" s="20"/>
      <c r="Z14" s="20"/>
      <c r="AA14" s="20"/>
      <c r="AB14" s="20"/>
      <c r="AC14" s="20"/>
      <c r="AD14" s="20"/>
      <c r="AE14" s="20"/>
      <c r="AF14" s="20"/>
      <c r="AG14" s="20"/>
      <c r="AH14" s="20"/>
      <c r="AI14" s="36" t="s">
        <v>1896</v>
      </c>
    </row>
    <row r="15" spans="1:52" ht="15">
      <c r="D15" s="2" t="s">
        <v>2169</v>
      </c>
      <c r="W15" s="20"/>
      <c r="X15" s="20"/>
      <c r="Y15" s="37" t="s">
        <v>1744</v>
      </c>
      <c r="Z15" s="20"/>
      <c r="AA15" s="20"/>
      <c r="AB15" s="20"/>
      <c r="AC15" s="20"/>
      <c r="AD15" s="20"/>
      <c r="AE15" s="20"/>
      <c r="AF15" s="20"/>
      <c r="AG15" s="20"/>
      <c r="AH15" s="20"/>
      <c r="AI15" s="36" t="s">
        <v>1735</v>
      </c>
      <c r="AJ15" s="19"/>
      <c r="AK15" s="19"/>
    </row>
    <row r="16" spans="1:52" ht="15">
      <c r="C16" s="2" t="s">
        <v>1721</v>
      </c>
      <c r="X16" s="20"/>
      <c r="Y16" s="20"/>
      <c r="Z16" s="20"/>
      <c r="AA16" s="20"/>
      <c r="AB16" s="20"/>
      <c r="AC16" s="20"/>
      <c r="AD16" s="20"/>
      <c r="AE16" s="20"/>
      <c r="AF16" s="20"/>
      <c r="AG16" s="20"/>
      <c r="AH16" s="20"/>
      <c r="AI16" s="36" t="s">
        <v>1738</v>
      </c>
      <c r="AJ16" s="19"/>
      <c r="AK16" s="19"/>
    </row>
    <row r="17" spans="3:46" ht="14.25" customHeight="1">
      <c r="C17" s="2" t="s">
        <v>1722</v>
      </c>
      <c r="W17" s="34" t="s">
        <v>2102</v>
      </c>
      <c r="AJ17" s="19"/>
      <c r="AK17" s="19"/>
    </row>
    <row r="18" spans="3:46">
      <c r="D18" s="2" t="s">
        <v>2170</v>
      </c>
      <c r="W18" s="20"/>
      <c r="X18" s="284" t="s">
        <v>1731</v>
      </c>
      <c r="Y18" s="284"/>
      <c r="Z18" s="284"/>
      <c r="AA18" s="284"/>
      <c r="AB18" s="284"/>
      <c r="AC18" s="284"/>
      <c r="AD18" s="284"/>
      <c r="AE18" s="284"/>
      <c r="AF18" s="284"/>
      <c r="AG18" s="284"/>
      <c r="AH18" s="284"/>
      <c r="AI18" s="284"/>
      <c r="AJ18" s="284"/>
      <c r="AK18" s="284"/>
      <c r="AL18" s="284"/>
      <c r="AM18" s="284"/>
      <c r="AN18" s="284"/>
      <c r="AO18" s="284"/>
      <c r="AP18" s="284"/>
      <c r="AQ18" s="11"/>
      <c r="AR18" s="11"/>
      <c r="AS18" s="11"/>
      <c r="AT18" s="11"/>
    </row>
    <row r="19" spans="3:46">
      <c r="C19" s="2" t="s">
        <v>2007</v>
      </c>
      <c r="W19" s="20"/>
      <c r="X19" s="284"/>
      <c r="Y19" s="284"/>
      <c r="Z19" s="284"/>
      <c r="AA19" s="284"/>
      <c r="AB19" s="284"/>
      <c r="AC19" s="284"/>
      <c r="AD19" s="284"/>
      <c r="AE19" s="284"/>
      <c r="AF19" s="284"/>
      <c r="AG19" s="284"/>
      <c r="AH19" s="284"/>
      <c r="AI19" s="284"/>
      <c r="AJ19" s="284"/>
      <c r="AK19" s="284"/>
      <c r="AL19" s="284"/>
      <c r="AM19" s="284"/>
      <c r="AN19" s="284"/>
      <c r="AO19" s="284"/>
      <c r="AP19" s="284"/>
      <c r="AQ19" s="11"/>
      <c r="AR19" s="11"/>
      <c r="AS19" s="11"/>
      <c r="AT19" s="11"/>
    </row>
    <row r="20" spans="3:46">
      <c r="D20" s="2" t="s">
        <v>2008</v>
      </c>
      <c r="W20" s="20"/>
      <c r="X20" s="284"/>
      <c r="Y20" s="284"/>
      <c r="Z20" s="284"/>
      <c r="AA20" s="284"/>
      <c r="AB20" s="284"/>
      <c r="AC20" s="284"/>
      <c r="AD20" s="284"/>
      <c r="AE20" s="284"/>
      <c r="AF20" s="284"/>
      <c r="AG20" s="284"/>
      <c r="AH20" s="284"/>
      <c r="AI20" s="284"/>
      <c r="AJ20" s="284"/>
      <c r="AK20" s="284"/>
      <c r="AL20" s="284"/>
      <c r="AM20" s="284"/>
      <c r="AN20" s="284"/>
      <c r="AO20" s="284"/>
      <c r="AP20" s="284"/>
      <c r="AQ20" s="11"/>
      <c r="AR20" s="11"/>
      <c r="AS20" s="11"/>
      <c r="AT20" s="11"/>
    </row>
    <row r="21" spans="3:46">
      <c r="C21" s="2" t="s">
        <v>2009</v>
      </c>
      <c r="W21" s="20"/>
      <c r="X21" s="20"/>
      <c r="Y21" s="20" t="s">
        <v>1732</v>
      </c>
      <c r="Z21" s="20"/>
      <c r="AA21" s="20"/>
      <c r="AB21" s="20"/>
      <c r="AC21" s="20"/>
      <c r="AD21" s="20"/>
      <c r="AE21" s="20"/>
      <c r="AF21" s="20"/>
      <c r="AG21" s="20"/>
      <c r="AH21" s="20"/>
      <c r="AI21" s="20"/>
      <c r="AJ21" s="19"/>
      <c r="AK21" s="19"/>
    </row>
    <row r="22" spans="3:46" ht="14.25" customHeight="1">
      <c r="D22" s="2" t="s">
        <v>2010</v>
      </c>
      <c r="W22" s="20"/>
      <c r="X22" s="20"/>
      <c r="Y22" s="20" t="s">
        <v>1733</v>
      </c>
      <c r="Z22" s="20"/>
      <c r="AA22" s="20"/>
      <c r="AB22" s="20"/>
      <c r="AC22" s="20"/>
      <c r="AD22" s="20"/>
      <c r="AE22" s="20"/>
      <c r="AF22" s="20"/>
      <c r="AG22" s="20"/>
      <c r="AH22" s="20"/>
      <c r="AI22" s="20"/>
      <c r="AJ22" s="19"/>
      <c r="AK22" s="19"/>
    </row>
    <row r="23" spans="3:46" ht="14.25" customHeight="1">
      <c r="C23" s="2" t="s">
        <v>2011</v>
      </c>
      <c r="W23" s="20"/>
      <c r="X23" s="284" t="s">
        <v>1734</v>
      </c>
      <c r="Y23" s="284"/>
      <c r="Z23" s="284"/>
      <c r="AA23" s="284"/>
      <c r="AB23" s="284"/>
      <c r="AC23" s="284"/>
      <c r="AD23" s="284"/>
      <c r="AE23" s="284"/>
      <c r="AF23" s="284"/>
      <c r="AG23" s="284"/>
      <c r="AH23" s="284"/>
      <c r="AI23" s="284"/>
      <c r="AJ23" s="284"/>
      <c r="AK23" s="284"/>
      <c r="AL23" s="284"/>
      <c r="AM23" s="284"/>
      <c r="AN23" s="284"/>
      <c r="AO23" s="284"/>
      <c r="AP23" s="284"/>
      <c r="AQ23" s="13"/>
      <c r="AR23" s="13"/>
      <c r="AS23" s="11"/>
      <c r="AT23" s="11"/>
    </row>
    <row r="24" spans="3:46">
      <c r="D24" s="2" t="s">
        <v>2012</v>
      </c>
      <c r="W24" s="20"/>
      <c r="X24" s="284"/>
      <c r="Y24" s="284"/>
      <c r="Z24" s="284"/>
      <c r="AA24" s="284"/>
      <c r="AB24" s="284"/>
      <c r="AC24" s="284"/>
      <c r="AD24" s="284"/>
      <c r="AE24" s="284"/>
      <c r="AF24" s="284"/>
      <c r="AG24" s="284"/>
      <c r="AH24" s="284"/>
      <c r="AI24" s="284"/>
      <c r="AJ24" s="284"/>
      <c r="AK24" s="284"/>
      <c r="AL24" s="284"/>
      <c r="AM24" s="284"/>
      <c r="AN24" s="284"/>
      <c r="AO24" s="284"/>
      <c r="AP24" s="284"/>
      <c r="AQ24" s="13"/>
      <c r="AR24" s="13"/>
      <c r="AS24" s="11"/>
      <c r="AT24" s="11"/>
    </row>
    <row r="25" spans="3:46">
      <c r="D25" s="2" t="s">
        <v>2013</v>
      </c>
      <c r="W25" s="20"/>
      <c r="X25" s="20"/>
      <c r="Y25" s="20" t="s">
        <v>1736</v>
      </c>
      <c r="Z25" s="20"/>
      <c r="AA25" s="20"/>
      <c r="AB25" s="20"/>
      <c r="AC25" s="20"/>
      <c r="AD25" s="20"/>
      <c r="AE25" s="20"/>
      <c r="AF25" s="20"/>
      <c r="AG25" s="20"/>
      <c r="AH25" s="20"/>
      <c r="AI25" s="20"/>
      <c r="AJ25" s="19"/>
      <c r="AK25" s="19"/>
    </row>
    <row r="26" spans="3:46" ht="14.25" customHeight="1">
      <c r="C26" s="283" t="s">
        <v>2014</v>
      </c>
      <c r="D26" s="283"/>
      <c r="E26" s="283"/>
      <c r="F26" s="283"/>
      <c r="G26" s="283"/>
      <c r="H26" s="283"/>
      <c r="I26" s="283"/>
      <c r="J26" s="283"/>
      <c r="K26" s="283"/>
      <c r="L26" s="283"/>
      <c r="M26" s="283"/>
      <c r="N26" s="283"/>
      <c r="O26" s="283"/>
      <c r="P26" s="283"/>
      <c r="Q26" s="17"/>
      <c r="R26" s="17"/>
      <c r="S26" s="17"/>
      <c r="T26" s="17"/>
      <c r="W26" s="20"/>
      <c r="X26" s="20"/>
      <c r="Y26" s="20" t="s">
        <v>1737</v>
      </c>
      <c r="Z26" s="20"/>
      <c r="AA26" s="20"/>
      <c r="AB26" s="20"/>
      <c r="AC26" s="20"/>
      <c r="AD26" s="20"/>
      <c r="AE26" s="20"/>
      <c r="AF26" s="20"/>
      <c r="AG26" s="20"/>
      <c r="AH26" s="20"/>
      <c r="AI26" s="20"/>
      <c r="AJ26" s="19"/>
      <c r="AK26" s="19"/>
    </row>
    <row r="27" spans="3:46">
      <c r="C27" s="283"/>
      <c r="D27" s="283"/>
      <c r="E27" s="283"/>
      <c r="F27" s="283"/>
      <c r="G27" s="283"/>
      <c r="H27" s="283"/>
      <c r="I27" s="283"/>
      <c r="J27" s="283"/>
      <c r="K27" s="283"/>
      <c r="L27" s="283"/>
      <c r="M27" s="283"/>
      <c r="N27" s="283"/>
      <c r="O27" s="283"/>
      <c r="P27" s="283"/>
      <c r="Q27" s="17"/>
      <c r="R27" s="17"/>
      <c r="S27" s="17"/>
      <c r="T27" s="17"/>
      <c r="W27" s="20"/>
      <c r="X27" s="20" t="s">
        <v>1895</v>
      </c>
      <c r="Y27" s="20"/>
      <c r="Z27" s="20"/>
      <c r="AA27" s="20"/>
      <c r="AB27" s="20"/>
      <c r="AC27" s="20"/>
      <c r="AD27" s="20"/>
      <c r="AE27" s="20"/>
      <c r="AF27" s="20"/>
      <c r="AG27" s="20"/>
      <c r="AH27" s="20"/>
      <c r="AI27" s="20"/>
      <c r="AJ27" s="19"/>
      <c r="AK27" s="19"/>
    </row>
    <row r="28" spans="3:46" ht="15" customHeight="1">
      <c r="C28" s="284" t="s">
        <v>2062</v>
      </c>
      <c r="D28" s="284"/>
      <c r="E28" s="284"/>
      <c r="F28" s="284"/>
      <c r="G28" s="284"/>
      <c r="H28" s="284"/>
      <c r="I28" s="284"/>
      <c r="J28" s="284"/>
      <c r="K28" s="284"/>
      <c r="L28" s="284"/>
      <c r="M28" s="284"/>
      <c r="N28" s="284"/>
      <c r="O28" s="284"/>
      <c r="P28" s="284"/>
      <c r="Q28" s="13"/>
      <c r="R28" s="13"/>
      <c r="S28" s="13"/>
      <c r="T28" s="13"/>
      <c r="W28" s="20"/>
      <c r="X28" s="20" t="s">
        <v>1928</v>
      </c>
      <c r="Y28" s="20"/>
      <c r="Z28" s="20"/>
      <c r="AA28" s="20"/>
      <c r="AB28" s="20"/>
      <c r="AC28" s="20"/>
      <c r="AD28" s="20"/>
      <c r="AE28" s="20"/>
      <c r="AF28" s="20"/>
      <c r="AG28" s="20"/>
      <c r="AH28" s="20"/>
      <c r="AI28" s="20"/>
      <c r="AJ28" s="19"/>
      <c r="AK28" s="19"/>
    </row>
    <row r="29" spans="3:46">
      <c r="C29" s="284"/>
      <c r="D29" s="284"/>
      <c r="E29" s="284"/>
      <c r="F29" s="284"/>
      <c r="G29" s="284"/>
      <c r="H29" s="284"/>
      <c r="I29" s="284"/>
      <c r="J29" s="284"/>
      <c r="K29" s="284"/>
      <c r="L29" s="284"/>
      <c r="M29" s="284"/>
      <c r="N29" s="284"/>
      <c r="O29" s="284"/>
      <c r="P29" s="284"/>
      <c r="Q29" s="13"/>
      <c r="R29" s="13"/>
      <c r="S29" s="13"/>
      <c r="T29" s="13"/>
      <c r="W29" s="20"/>
      <c r="X29" s="20"/>
      <c r="Y29" s="20" t="s">
        <v>1929</v>
      </c>
      <c r="Z29" s="20"/>
      <c r="AA29" s="20"/>
      <c r="AB29" s="20"/>
      <c r="AC29" s="20"/>
      <c r="AD29" s="20"/>
      <c r="AE29" s="20"/>
      <c r="AF29" s="20"/>
      <c r="AG29" s="20"/>
      <c r="AH29" s="20"/>
      <c r="AI29" s="20"/>
      <c r="AJ29" s="19"/>
      <c r="AK29" s="19"/>
    </row>
    <row r="30" spans="3:46">
      <c r="C30" s="2" t="s">
        <v>2183</v>
      </c>
    </row>
    <row r="31" spans="3:46">
      <c r="C31" s="2" t="s">
        <v>2131</v>
      </c>
    </row>
    <row r="32" spans="3:46">
      <c r="C32" s="2" t="s">
        <v>2184</v>
      </c>
    </row>
    <row r="33" spans="4:4">
      <c r="D33" s="2" t="s">
        <v>2015</v>
      </c>
    </row>
  </sheetData>
  <mergeCells count="40">
    <mergeCell ref="C26:P27"/>
    <mergeCell ref="C28:P29"/>
    <mergeCell ref="F4:G4"/>
    <mergeCell ref="F5:G5"/>
    <mergeCell ref="F6:G6"/>
    <mergeCell ref="F7:G7"/>
    <mergeCell ref="F8:G8"/>
    <mergeCell ref="B5:E5"/>
    <mergeCell ref="L6:Q6"/>
    <mergeCell ref="F10:G10"/>
    <mergeCell ref="F11:G11"/>
    <mergeCell ref="F9:G9"/>
    <mergeCell ref="L10:Q10"/>
    <mergeCell ref="L11:Q11"/>
    <mergeCell ref="L8:Q8"/>
    <mergeCell ref="L9:Q9"/>
    <mergeCell ref="R6:U6"/>
    <mergeCell ref="R7:U7"/>
    <mergeCell ref="R5:U5"/>
    <mergeCell ref="H7:K7"/>
    <mergeCell ref="B7:E7"/>
    <mergeCell ref="B6:E6"/>
    <mergeCell ref="L7:Q7"/>
    <mergeCell ref="H6:K6"/>
    <mergeCell ref="H5:K5"/>
    <mergeCell ref="L5:Q5"/>
    <mergeCell ref="B11:E11"/>
    <mergeCell ref="H8:K8"/>
    <mergeCell ref="H9:K9"/>
    <mergeCell ref="H10:K10"/>
    <mergeCell ref="H11:K11"/>
    <mergeCell ref="B8:E8"/>
    <mergeCell ref="B9:E9"/>
    <mergeCell ref="B10:E10"/>
    <mergeCell ref="X18:AP20"/>
    <mergeCell ref="X23:AP24"/>
    <mergeCell ref="R8:U8"/>
    <mergeCell ref="R9:U9"/>
    <mergeCell ref="R10:U10"/>
    <mergeCell ref="R11:U11"/>
  </mergeCells>
  <hyperlinks>
    <hyperlink ref="F2" r:id="rId1" xr:uid="{F9668CCC-67EA-41F1-962B-4927FD1CF953}"/>
    <hyperlink ref="AI15" r:id="rId2" xr:uid="{4703EE34-8325-46AF-B318-5FDBF629EA31}"/>
    <hyperlink ref="AI16" r:id="rId3" xr:uid="{51990CCF-4952-42DD-B25A-5046D7F8C4E7}"/>
    <hyperlink ref="AI14" r:id="rId4" xr:uid="{415C9A4B-AB41-46EB-B45F-13FE7F1DEAB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2AD3-10D6-4155-BC4E-25F64DD5B851}">
  <dimension ref="A2:V26"/>
  <sheetViews>
    <sheetView topLeftCell="A7" zoomScale="85" zoomScaleNormal="85" workbookViewId="0"/>
  </sheetViews>
  <sheetFormatPr defaultColWidth="9.140625" defaultRowHeight="14.25"/>
  <cols>
    <col min="1" max="1" width="3" style="2" customWidth="1"/>
    <col min="2" max="5" width="9.140625" style="2"/>
    <col min="6" max="7" width="10.140625" style="2" customWidth="1"/>
    <col min="8" max="13" width="10.42578125" style="2" customWidth="1"/>
    <col min="14" max="19" width="14.5703125" style="2" customWidth="1"/>
    <col min="20" max="16384" width="9.140625" style="2"/>
  </cols>
  <sheetData>
    <row r="2" spans="1:22" s="1" customFormat="1" ht="15">
      <c r="A2" s="1" t="s">
        <v>2130</v>
      </c>
    </row>
    <row r="4" spans="1:22" ht="15">
      <c r="B4" s="5" t="s">
        <v>1687</v>
      </c>
      <c r="C4" s="15"/>
      <c r="D4" s="15"/>
      <c r="E4" s="6"/>
      <c r="F4" s="297" t="s">
        <v>1686</v>
      </c>
      <c r="G4" s="297"/>
      <c r="H4" s="18" t="s">
        <v>1745</v>
      </c>
      <c r="I4" s="4"/>
      <c r="J4" s="8"/>
      <c r="K4" s="4"/>
      <c r="L4" s="8"/>
      <c r="M4" s="7"/>
      <c r="N4" s="3" t="s">
        <v>1710</v>
      </c>
      <c r="O4" s="8"/>
      <c r="P4" s="4"/>
      <c r="Q4" s="4"/>
      <c r="R4" s="8"/>
      <c r="S4" s="14"/>
      <c r="T4" s="3" t="s">
        <v>2133</v>
      </c>
      <c r="U4" s="8"/>
      <c r="V4" s="14"/>
    </row>
    <row r="5" spans="1:22" ht="87" customHeight="1">
      <c r="B5" s="27" t="s">
        <v>2129</v>
      </c>
      <c r="C5" s="39"/>
      <c r="D5" s="39"/>
      <c r="E5" s="40"/>
      <c r="F5" s="434" t="s">
        <v>2165</v>
      </c>
      <c r="G5" s="435"/>
      <c r="H5" s="365" t="s">
        <v>2140</v>
      </c>
      <c r="I5" s="366"/>
      <c r="J5" s="366"/>
      <c r="K5" s="366"/>
      <c r="L5" s="366"/>
      <c r="M5" s="367"/>
      <c r="N5" s="385" t="s">
        <v>2246</v>
      </c>
      <c r="O5" s="386"/>
      <c r="P5" s="386"/>
      <c r="Q5" s="386"/>
      <c r="R5" s="386"/>
      <c r="S5" s="387"/>
      <c r="T5" s="388" t="s">
        <v>2134</v>
      </c>
      <c r="U5" s="389"/>
      <c r="V5" s="390"/>
    </row>
    <row r="6" spans="1:22" ht="57" customHeight="1">
      <c r="B6" s="28" t="s">
        <v>2128</v>
      </c>
      <c r="C6" s="43"/>
      <c r="D6" s="38"/>
      <c r="E6" s="41"/>
      <c r="F6" s="429" t="s">
        <v>2164</v>
      </c>
      <c r="G6" s="430"/>
      <c r="H6" s="406" t="s">
        <v>2168</v>
      </c>
      <c r="I6" s="407"/>
      <c r="J6" s="407"/>
      <c r="K6" s="407"/>
      <c r="L6" s="407"/>
      <c r="M6" s="408"/>
      <c r="N6" s="403" t="s">
        <v>2167</v>
      </c>
      <c r="O6" s="404"/>
      <c r="P6" s="404"/>
      <c r="Q6" s="404"/>
      <c r="R6" s="404"/>
      <c r="S6" s="405"/>
      <c r="T6" s="397" t="s">
        <v>2132</v>
      </c>
      <c r="U6" s="398"/>
      <c r="V6" s="399"/>
    </row>
    <row r="7" spans="1:22" ht="103.5" customHeight="1">
      <c r="B7" s="28" t="s">
        <v>380</v>
      </c>
      <c r="C7" s="43"/>
      <c r="D7" s="43"/>
      <c r="E7" s="44"/>
      <c r="F7" s="436" t="s">
        <v>2166</v>
      </c>
      <c r="G7" s="437"/>
      <c r="H7" s="340" t="s">
        <v>2139</v>
      </c>
      <c r="I7" s="341"/>
      <c r="J7" s="341"/>
      <c r="K7" s="341"/>
      <c r="L7" s="341"/>
      <c r="M7" s="342"/>
      <c r="N7" s="394" t="s">
        <v>2141</v>
      </c>
      <c r="O7" s="395"/>
      <c r="P7" s="395"/>
      <c r="Q7" s="395"/>
      <c r="R7" s="395"/>
      <c r="S7" s="396"/>
      <c r="T7" s="400" t="s">
        <v>2138</v>
      </c>
      <c r="U7" s="401"/>
      <c r="V7" s="402"/>
    </row>
    <row r="8" spans="1:22" ht="55.5" customHeight="1">
      <c r="B8" s="346" t="s">
        <v>382</v>
      </c>
      <c r="C8" s="347"/>
      <c r="D8" s="347"/>
      <c r="E8" s="348"/>
      <c r="F8" s="438"/>
      <c r="G8" s="439"/>
      <c r="H8" s="424" t="s">
        <v>2142</v>
      </c>
      <c r="I8" s="425"/>
      <c r="J8" s="425"/>
      <c r="K8" s="425"/>
      <c r="L8" s="425"/>
      <c r="M8" s="426"/>
      <c r="N8" s="412" t="s">
        <v>2256</v>
      </c>
      <c r="O8" s="413"/>
      <c r="P8" s="413"/>
      <c r="Q8" s="413"/>
      <c r="R8" s="413"/>
      <c r="S8" s="414"/>
      <c r="T8" s="391" t="s">
        <v>2137</v>
      </c>
      <c r="U8" s="392"/>
      <c r="V8" s="393"/>
    </row>
    <row r="9" spans="1:22" ht="60.75" customHeight="1">
      <c r="B9" s="431" t="s">
        <v>2135</v>
      </c>
      <c r="C9" s="432"/>
      <c r="D9" s="432"/>
      <c r="E9" s="433"/>
      <c r="F9" s="436" t="s">
        <v>2162</v>
      </c>
      <c r="G9" s="437"/>
      <c r="H9" s="340" t="s">
        <v>2143</v>
      </c>
      <c r="I9" s="341"/>
      <c r="J9" s="341"/>
      <c r="K9" s="341"/>
      <c r="L9" s="341"/>
      <c r="M9" s="342"/>
      <c r="N9" s="394" t="s">
        <v>2144</v>
      </c>
      <c r="O9" s="395"/>
      <c r="P9" s="395"/>
      <c r="Q9" s="395"/>
      <c r="R9" s="395"/>
      <c r="S9" s="396"/>
      <c r="T9" s="400" t="s">
        <v>2145</v>
      </c>
      <c r="U9" s="401"/>
      <c r="V9" s="402"/>
    </row>
    <row r="10" spans="1:22" ht="48" customHeight="1">
      <c r="B10" s="28" t="s">
        <v>384</v>
      </c>
      <c r="C10" s="38"/>
      <c r="D10" s="38"/>
      <c r="E10" s="41"/>
      <c r="F10" s="440" t="s">
        <v>2163</v>
      </c>
      <c r="G10" s="441"/>
      <c r="H10" s="337" t="s">
        <v>2146</v>
      </c>
      <c r="I10" s="338"/>
      <c r="J10" s="338"/>
      <c r="K10" s="338"/>
      <c r="L10" s="338"/>
      <c r="M10" s="339"/>
      <c r="N10" s="418" t="s">
        <v>2147</v>
      </c>
      <c r="O10" s="419"/>
      <c r="P10" s="419"/>
      <c r="Q10" s="419"/>
      <c r="R10" s="419"/>
      <c r="S10" s="420"/>
      <c r="T10" s="415" t="s">
        <v>2136</v>
      </c>
      <c r="U10" s="416"/>
      <c r="V10" s="417"/>
    </row>
    <row r="11" spans="1:22" ht="73.5" customHeight="1">
      <c r="B11" s="33" t="s">
        <v>385</v>
      </c>
      <c r="C11" s="32"/>
      <c r="D11" s="32"/>
      <c r="E11" s="42"/>
      <c r="F11" s="427" t="s">
        <v>2164</v>
      </c>
      <c r="G11" s="428"/>
      <c r="H11" s="343" t="s">
        <v>2148</v>
      </c>
      <c r="I11" s="344"/>
      <c r="J11" s="344"/>
      <c r="K11" s="344"/>
      <c r="L11" s="344"/>
      <c r="M11" s="345"/>
      <c r="N11" s="421" t="s">
        <v>2149</v>
      </c>
      <c r="O11" s="422"/>
      <c r="P11" s="422"/>
      <c r="Q11" s="422"/>
      <c r="R11" s="422"/>
      <c r="S11" s="423"/>
      <c r="T11" s="409" t="s">
        <v>2150</v>
      </c>
      <c r="U11" s="410"/>
      <c r="V11" s="411"/>
    </row>
    <row r="13" spans="1:22">
      <c r="B13" s="2" t="s">
        <v>2247</v>
      </c>
    </row>
    <row r="14" spans="1:22" ht="15">
      <c r="C14" s="2" t="s">
        <v>2251</v>
      </c>
    </row>
    <row r="15" spans="1:22" ht="15">
      <c r="D15" s="2" t="s">
        <v>2250</v>
      </c>
    </row>
    <row r="16" spans="1:22" ht="15">
      <c r="C16" s="2" t="s">
        <v>2258</v>
      </c>
    </row>
    <row r="17" spans="3:6" ht="15">
      <c r="D17" s="2" t="s">
        <v>2259</v>
      </c>
    </row>
    <row r="18" spans="3:6">
      <c r="E18" s="2" t="s">
        <v>2248</v>
      </c>
    </row>
    <row r="19" spans="3:6">
      <c r="E19" s="2" t="s">
        <v>2249</v>
      </c>
    </row>
    <row r="20" spans="3:6" ht="15">
      <c r="C20" s="2" t="s">
        <v>2252</v>
      </c>
    </row>
    <row r="21" spans="3:6" ht="15">
      <c r="D21" s="2" t="s">
        <v>2253</v>
      </c>
    </row>
    <row r="22" spans="3:6">
      <c r="D22" s="2" t="s">
        <v>2254</v>
      </c>
    </row>
    <row r="23" spans="3:6">
      <c r="E23" s="2" t="s">
        <v>2255</v>
      </c>
    </row>
    <row r="24" spans="3:6">
      <c r="D24" s="2" t="s">
        <v>2257</v>
      </c>
    </row>
    <row r="25" spans="3:6">
      <c r="E25" s="2" t="s">
        <v>2260</v>
      </c>
    </row>
    <row r="26" spans="3:6">
      <c r="F26" s="2" t="s">
        <v>2261</v>
      </c>
    </row>
  </sheetData>
  <mergeCells count="31">
    <mergeCell ref="F11:G11"/>
    <mergeCell ref="F4:G4"/>
    <mergeCell ref="F6:G6"/>
    <mergeCell ref="B9:E9"/>
    <mergeCell ref="F5:G5"/>
    <mergeCell ref="B8:E8"/>
    <mergeCell ref="F7:G7"/>
    <mergeCell ref="F8:G8"/>
    <mergeCell ref="F9:G9"/>
    <mergeCell ref="F10:G10"/>
    <mergeCell ref="T11:V11"/>
    <mergeCell ref="N8:S8"/>
    <mergeCell ref="H10:M10"/>
    <mergeCell ref="N9:S9"/>
    <mergeCell ref="T9:V9"/>
    <mergeCell ref="T10:V10"/>
    <mergeCell ref="N10:S10"/>
    <mergeCell ref="N11:S11"/>
    <mergeCell ref="H11:M11"/>
    <mergeCell ref="H9:M9"/>
    <mergeCell ref="H8:M8"/>
    <mergeCell ref="H5:M5"/>
    <mergeCell ref="N5:S5"/>
    <mergeCell ref="T5:V5"/>
    <mergeCell ref="T8:V8"/>
    <mergeCell ref="H7:M7"/>
    <mergeCell ref="N7:S7"/>
    <mergeCell ref="T6:V6"/>
    <mergeCell ref="T7:V7"/>
    <mergeCell ref="N6:S6"/>
    <mergeCell ref="H6:M6"/>
  </mergeCells>
  <hyperlinks>
    <hyperlink ref="T6" r:id="rId1" xr:uid="{D9D81EE7-8F02-4428-A92F-3B6F2C6D22A0}"/>
    <hyperlink ref="T11" r:id="rId2" display="https://www.penumbrainc.com/products/lp-system/" xr:uid="{BEF08DE3-3801-4F50-9042-95F312352633}"/>
    <hyperlink ref="T9" r:id="rId3" display="https://www.penumbrainc.com/products/pod/" xr:uid="{48A489C5-D7D5-4E1E-9F02-A5A1A29D6023}"/>
    <hyperlink ref="T10" r:id="rId4" xr:uid="{9A043822-5CEF-4CE6-94CD-F7FF9CCB5528}"/>
    <hyperlink ref="T8" r:id="rId5" xr:uid="{99904671-9ED2-4F33-B32A-B5E51FF3B242}"/>
    <hyperlink ref="T5" r:id="rId6" display="https://medtechspectrum.com/interviews/22/24428/penumbra-reaches-new-heights-with-ruby-xl-advancing-precision-in-vascular-embolization.html_x000a_" xr:uid="{726C1F36-FC6F-4EB6-AE41-50731E982406}"/>
    <hyperlink ref="T7" r:id="rId7" xr:uid="{ECDBB928-82C5-4DE6-B2D4-C915C3C63772}"/>
  </hyperlinks>
  <pageMargins left="0.7" right="0.7" top="0.75" bottom="0.75" header="0.3" footer="0.3"/>
  <ignoredErrors>
    <ignoredError sqref="F6:G6 F11:G11 F8:G10 F7 F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2EB4-8E8F-4F2C-96F6-208D5A819335}">
  <dimension ref="A1"/>
  <sheetViews>
    <sheetView workbookViewId="0">
      <selection activeCell="C17" sqref="C17"/>
    </sheetView>
  </sheetViews>
  <sheetFormatPr defaultColWidth="9.140625" defaultRowHeight="14.25"/>
  <cols>
    <col min="1" max="1" width="3.140625" style="2" customWidth="1"/>
    <col min="2" max="16384" width="9.140625" style="2"/>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306D-092A-42B9-9419-F102F004AF63}">
  <dimension ref="A1"/>
  <sheetViews>
    <sheetView workbookViewId="0"/>
  </sheetViews>
  <sheetFormatPr defaultColWidth="9.140625" defaultRowHeight="14.25"/>
  <cols>
    <col min="1" max="1" width="3.42578125" style="2" customWidth="1"/>
    <col min="2" max="16384" width="9.140625" style="2"/>
  </cols>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2DA4-3892-4222-9903-C65BCAADBBDB}">
  <dimension ref="A1"/>
  <sheetViews>
    <sheetView workbookViewId="0"/>
  </sheetViews>
  <sheetFormatPr defaultColWidth="9.140625" defaultRowHeight="14.25"/>
  <cols>
    <col min="1" max="1" width="3.28515625" style="2" customWidth="1"/>
    <col min="2" max="16384" width="9.140625" style="2"/>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Main | Overview</vt:lpstr>
      <vt:lpstr>Bull Case (30%)</vt:lpstr>
      <vt:lpstr>Base Case (55%)</vt:lpstr>
      <vt:lpstr>Bear Case (15%)</vt:lpstr>
      <vt:lpstr>Notes | Analysis</vt:lpstr>
      <vt:lpstr>Portfolio | Product Lines</vt:lpstr>
      <vt:lpstr>IPO</vt:lpstr>
      <vt:lpstr>Management</vt:lpstr>
      <vt:lpstr>Clinical Trail Channel</vt:lpstr>
      <vt:lpstr>Peripheral Thrombectomy</vt:lpstr>
      <vt:lpstr>Neuro Thrombectomy</vt:lpstr>
      <vt:lpstr>Peripheral Embolization</vt:lpstr>
      <vt:lpstr>Neuro Embolization</vt:lpstr>
      <vt:lpstr>Access</vt:lpstr>
      <vt:lpstr>Neurosurgical 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H</dc:creator>
  <cp:lastModifiedBy>Jacob H</cp:lastModifiedBy>
  <dcterms:created xsi:type="dcterms:W3CDTF">2015-06-05T18:17:20Z</dcterms:created>
  <dcterms:modified xsi:type="dcterms:W3CDTF">2026-10-23T06:37:04Z</dcterms:modified>
</cp:coreProperties>
</file>