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heme/themeOverride1.xml" ContentType="application/vnd.openxmlformats-officedocument.themeOverride+xml"/>
  <Override PartName="/xl/charts/chart2.xml" ContentType="application/vnd.openxmlformats-officedocument.drawingml.chart+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theme/themeOverride2.xml" ContentType="application/vnd.openxmlformats-officedocument.themeOverrid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mc:AlternateContent xmlns:mc="http://schemas.openxmlformats.org/markup-compatibility/2006">
    <mc:Choice Requires="x15">
      <x15ac:absPath xmlns:x15ac="http://schemas.microsoft.com/office/spreadsheetml/2010/11/ac" url="C:\Users\User\OneDrive\Desktop\Equity Research\Models\Health Care\MedTech\"/>
    </mc:Choice>
  </mc:AlternateContent>
  <xr:revisionPtr revIDLastSave="0" documentId="13_ncr:1_{24C8F2E3-AF0A-456B-8D7E-D982E9784708}" xr6:coauthVersionLast="47" xr6:coauthVersionMax="47" xr10:uidLastSave="{00000000-0000-0000-0000-000000000000}"/>
  <bookViews>
    <workbookView xWindow="-780" yWindow="1200" windowWidth="29010" windowHeight="15480" activeTab="1" xr2:uid="{00000000-000D-0000-FFFF-FFFF00000000}"/>
  </bookViews>
  <sheets>
    <sheet name="Main" sheetId="1" r:id="rId1"/>
    <sheet name="Model" sheetId="2" r:id="rId2"/>
    <sheet name="Notes | Quant Analysis" sheetId="3" r:id="rId3"/>
    <sheet name="Product Lines" sheetId="5" r:id="rId4"/>
    <sheet name="Management" sheetId="6" r:id="rId5"/>
    <sheet name="Table Formatting" sheetId="4" r:id="rId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U70" i="2" l="1"/>
  <c r="BU69" i="2"/>
  <c r="BU48" i="2"/>
  <c r="BU49" i="2" s="1"/>
  <c r="BT48" i="2"/>
  <c r="C8" i="1"/>
  <c r="BU72" i="2"/>
  <c r="BU64" i="2"/>
  <c r="BU62" i="2"/>
  <c r="BU61" i="2"/>
  <c r="BU60" i="2"/>
  <c r="BU56" i="2"/>
  <c r="BU58" i="2" s="1"/>
  <c r="BU9" i="2"/>
  <c r="BU11" i="2"/>
  <c r="BU10" i="2"/>
  <c r="BU71" i="2" l="1"/>
  <c r="BU73" i="2" s="1"/>
  <c r="BU7" i="2"/>
  <c r="BU16" i="2" s="1"/>
  <c r="BU12" i="2" l="1"/>
  <c r="BU18" i="2"/>
  <c r="BU15" i="2"/>
  <c r="BU14" i="2"/>
  <c r="BU63" i="2" l="1"/>
  <c r="BU35" i="2"/>
  <c r="BU20" i="2"/>
  <c r="BU34" i="2"/>
  <c r="BU23" i="2" l="1"/>
  <c r="BU33" i="2"/>
  <c r="BU25" i="2" l="1"/>
  <c r="BU36" i="2"/>
  <c r="BU37" i="2" l="1"/>
  <c r="BU27" i="2"/>
  <c r="BU31" i="2" l="1"/>
  <c r="BU68" i="2"/>
  <c r="BU66" i="2"/>
  <c r="BU38" i="2"/>
  <c r="BU65" i="2"/>
  <c r="BU29" i="2"/>
  <c r="CV45" i="2" l="1"/>
  <c r="CV46" i="2"/>
  <c r="CQ44" i="2" l="1"/>
  <c r="CP44" i="2"/>
  <c r="CV52" i="2"/>
  <c r="CV50" i="2"/>
  <c r="CV47" i="2"/>
  <c r="L203" i="3"/>
  <c r="L204" i="3" s="1"/>
  <c r="L205" i="3" s="1"/>
  <c r="L206" i="3" s="1"/>
  <c r="L207" i="3" s="1"/>
  <c r="L208" i="3" s="1"/>
  <c r="L209" i="3" s="1"/>
  <c r="L210" i="3" s="1"/>
  <c r="L211" i="3" s="1"/>
  <c r="L212" i="3" s="1"/>
  <c r="L213" i="3" s="1"/>
  <c r="L214" i="3" s="1"/>
  <c r="L215" i="3" s="1"/>
  <c r="L216" i="3" s="1"/>
  <c r="L217" i="3" s="1"/>
  <c r="L218" i="3" s="1"/>
  <c r="L219" i="3" s="1"/>
  <c r="L220" i="3" s="1"/>
  <c r="L221" i="3" s="1"/>
  <c r="L222" i="3" s="1"/>
  <c r="L223" i="3" s="1"/>
  <c r="L224" i="3" s="1"/>
  <c r="L225" i="3" s="1"/>
  <c r="L226" i="3" s="1"/>
  <c r="L227" i="3" s="1"/>
  <c r="L228" i="3" s="1"/>
  <c r="L229" i="3" s="1"/>
  <c r="L230" i="3" s="1"/>
  <c r="L231" i="3" s="1"/>
  <c r="L232" i="3" s="1"/>
  <c r="L233" i="3" s="1"/>
  <c r="L234" i="3" s="1"/>
  <c r="L235" i="3" s="1"/>
  <c r="L236" i="3" s="1"/>
  <c r="L237" i="3" s="1"/>
  <c r="L238" i="3" s="1"/>
  <c r="L239" i="3" s="1"/>
  <c r="L240" i="3" s="1"/>
  <c r="L241" i="3" s="1"/>
  <c r="L242" i="3" s="1"/>
  <c r="L243" i="3" s="1"/>
  <c r="L244" i="3" s="1"/>
  <c r="L245" i="3" s="1"/>
  <c r="L246" i="3" s="1"/>
  <c r="L247" i="3" s="1"/>
  <c r="L248" i="3" s="1"/>
  <c r="L249" i="3" s="1"/>
  <c r="L250" i="3" s="1"/>
  <c r="L251" i="3" s="1"/>
  <c r="L252" i="3" s="1"/>
  <c r="L253" i="3" s="1"/>
  <c r="L254" i="3" s="1"/>
  <c r="L255" i="3" s="1"/>
  <c r="L256" i="3" s="1"/>
  <c r="L257" i="3" s="1"/>
  <c r="L258" i="3" s="1"/>
  <c r="L259" i="3" s="1"/>
  <c r="L260" i="3" s="1"/>
  <c r="L261" i="3" s="1"/>
  <c r="L262" i="3" s="1"/>
  <c r="L263" i="3" s="1"/>
  <c r="L264" i="3" s="1"/>
  <c r="L265" i="3" s="1"/>
  <c r="L266" i="3" s="1"/>
  <c r="L267" i="3" s="1"/>
  <c r="L268" i="3" s="1"/>
  <c r="L269" i="3" s="1"/>
  <c r="L270" i="3" s="1"/>
  <c r="L271" i="3" s="1"/>
  <c r="L272" i="3" s="1"/>
  <c r="L273" i="3" s="1"/>
  <c r="L274" i="3" s="1"/>
  <c r="L275" i="3" s="1"/>
  <c r="L276" i="3" s="1"/>
  <c r="L277" i="3" s="1"/>
  <c r="L278" i="3" s="1"/>
  <c r="L279" i="3" s="1"/>
  <c r="L280" i="3" s="1"/>
  <c r="L281" i="3" s="1"/>
  <c r="L282" i="3" s="1"/>
  <c r="L283" i="3" s="1"/>
  <c r="L284" i="3" s="1"/>
  <c r="L285" i="3" s="1"/>
  <c r="L286" i="3" s="1"/>
  <c r="L287" i="3" s="1"/>
  <c r="L288" i="3" s="1"/>
  <c r="L289" i="3" s="1"/>
  <c r="L290" i="3" s="1"/>
  <c r="L291" i="3" s="1"/>
  <c r="L292" i="3" s="1"/>
  <c r="L293" i="3" s="1"/>
  <c r="L294" i="3" s="1"/>
  <c r="L295" i="3" s="1"/>
  <c r="L193" i="3"/>
  <c r="L194" i="3" s="1"/>
  <c r="L195" i="3" s="1"/>
  <c r="L196" i="3" s="1"/>
  <c r="L197" i="3" s="1"/>
  <c r="L198" i="3" s="1"/>
  <c r="L199" i="3" s="1"/>
  <c r="L200" i="3" s="1"/>
  <c r="L201" i="3" s="1"/>
  <c r="CL57" i="2" l="1"/>
  <c r="CK57" i="2"/>
  <c r="CJ57" i="2"/>
  <c r="CI57" i="2"/>
  <c r="CL55" i="2"/>
  <c r="CK55" i="2"/>
  <c r="CJ55" i="2"/>
  <c r="CI55" i="2"/>
  <c r="CL54" i="2"/>
  <c r="CK54" i="2"/>
  <c r="CJ54" i="2"/>
  <c r="CI54" i="2"/>
  <c r="CL53" i="2"/>
  <c r="CK53" i="2"/>
  <c r="CJ53" i="2"/>
  <c r="CI53" i="2"/>
  <c r="CL52" i="2"/>
  <c r="CK52" i="2"/>
  <c r="CJ52" i="2"/>
  <c r="CI52" i="2"/>
  <c r="CL51" i="2"/>
  <c r="CK51" i="2"/>
  <c r="CJ51" i="2"/>
  <c r="CI51" i="2"/>
  <c r="CL47" i="2"/>
  <c r="CK47" i="2"/>
  <c r="CJ47" i="2"/>
  <c r="CI47" i="2"/>
  <c r="CL46" i="2"/>
  <c r="CK46" i="2"/>
  <c r="CJ46" i="2"/>
  <c r="CI46" i="2"/>
  <c r="CL45" i="2"/>
  <c r="CK45" i="2"/>
  <c r="CJ45" i="2"/>
  <c r="CI45" i="2"/>
  <c r="CL44" i="2"/>
  <c r="CK44" i="2"/>
  <c r="CJ44" i="2"/>
  <c r="CI44" i="2"/>
  <c r="CL43" i="2"/>
  <c r="CK43" i="2"/>
  <c r="CK61" i="2" s="1"/>
  <c r="CJ43" i="2"/>
  <c r="CI43" i="2"/>
  <c r="CL42" i="2"/>
  <c r="CK42" i="2"/>
  <c r="CJ42" i="2"/>
  <c r="CI42" i="2"/>
  <c r="CL41" i="2"/>
  <c r="CK41" i="2"/>
  <c r="CJ41" i="2"/>
  <c r="CJ60" i="2" s="1"/>
  <c r="CI41" i="2"/>
  <c r="CI40" i="2"/>
  <c r="CI62" i="2" s="1"/>
  <c r="CJ40" i="2"/>
  <c r="CJ62" i="2" s="1"/>
  <c r="CK40" i="2"/>
  <c r="CL40" i="2"/>
  <c r="CL70" i="2"/>
  <c r="CK70" i="2"/>
  <c r="CJ70" i="2"/>
  <c r="CI70" i="2"/>
  <c r="CH70" i="2"/>
  <c r="CL69" i="2"/>
  <c r="CK69" i="2"/>
  <c r="CJ69" i="2"/>
  <c r="CI69" i="2"/>
  <c r="CH69" i="2"/>
  <c r="CI61" i="2" l="1"/>
  <c r="CJ61" i="2"/>
  <c r="CL61" i="2"/>
  <c r="CL62" i="2"/>
  <c r="CM24" i="2"/>
  <c r="CI60" i="2"/>
  <c r="CK60" i="2"/>
  <c r="CK62" i="2"/>
  <c r="CL60" i="2"/>
  <c r="CL30" i="2"/>
  <c r="CK30" i="2"/>
  <c r="CJ30" i="2"/>
  <c r="CI30" i="2"/>
  <c r="CH30" i="2"/>
  <c r="CI28" i="2"/>
  <c r="CK24" i="2"/>
  <c r="CK6" i="2"/>
  <c r="CJ5" i="2"/>
  <c r="BT70" i="2"/>
  <c r="BT69" i="2"/>
  <c r="BS64" i="2"/>
  <c r="BQ64" i="2"/>
  <c r="BP64" i="2"/>
  <c r="BO64" i="2"/>
  <c r="BM64" i="2"/>
  <c r="BL64" i="2"/>
  <c r="BK64" i="2"/>
  <c r="BI64" i="2"/>
  <c r="BH64" i="2"/>
  <c r="BG64" i="2"/>
  <c r="BE64" i="2"/>
  <c r="BD64" i="2"/>
  <c r="BC64" i="2"/>
  <c r="BS62" i="2"/>
  <c r="BR62" i="2"/>
  <c r="BQ62" i="2"/>
  <c r="BP62" i="2"/>
  <c r="BO62" i="2"/>
  <c r="BN62" i="2"/>
  <c r="BM62" i="2"/>
  <c r="BL62" i="2"/>
  <c r="BK62" i="2"/>
  <c r="BJ62" i="2"/>
  <c r="BI62" i="2"/>
  <c r="BH62" i="2"/>
  <c r="BG62" i="2"/>
  <c r="BF62" i="2"/>
  <c r="BE62" i="2"/>
  <c r="BD62" i="2"/>
  <c r="BC62" i="2"/>
  <c r="BS61" i="2"/>
  <c r="BR61" i="2"/>
  <c r="BQ61" i="2"/>
  <c r="BP61" i="2"/>
  <c r="BO61" i="2"/>
  <c r="BN61" i="2"/>
  <c r="BM61" i="2"/>
  <c r="BL61" i="2"/>
  <c r="BK61" i="2"/>
  <c r="BJ61" i="2"/>
  <c r="BI61" i="2"/>
  <c r="BH61" i="2"/>
  <c r="BG61" i="2"/>
  <c r="BF61" i="2"/>
  <c r="BE61" i="2"/>
  <c r="BD61" i="2"/>
  <c r="BC61" i="2"/>
  <c r="BS60" i="2"/>
  <c r="BR60" i="2"/>
  <c r="BQ60" i="2"/>
  <c r="BP60" i="2"/>
  <c r="BO60" i="2"/>
  <c r="BN60" i="2"/>
  <c r="BM60" i="2"/>
  <c r="BL60" i="2"/>
  <c r="BK60" i="2"/>
  <c r="BJ60" i="2"/>
  <c r="BI60" i="2"/>
  <c r="BH60" i="2"/>
  <c r="BG60" i="2"/>
  <c r="BF60" i="2"/>
  <c r="BE60" i="2"/>
  <c r="BD60" i="2"/>
  <c r="BC60" i="2"/>
  <c r="BT64" i="2"/>
  <c r="BT62" i="2"/>
  <c r="BT61" i="2"/>
  <c r="BT60" i="2"/>
  <c r="BT72" i="2"/>
  <c r="BS72" i="2"/>
  <c r="BR72" i="2"/>
  <c r="BQ72" i="2"/>
  <c r="BP72" i="2"/>
  <c r="BO72" i="2"/>
  <c r="BN72" i="2"/>
  <c r="BM72" i="2"/>
  <c r="BL72" i="2"/>
  <c r="BK72" i="2"/>
  <c r="BJ72" i="2"/>
  <c r="BI72" i="2"/>
  <c r="BH72" i="2"/>
  <c r="BG72" i="2"/>
  <c r="BF72" i="2"/>
  <c r="BE72" i="2"/>
  <c r="BD72" i="2"/>
  <c r="BC72" i="2"/>
  <c r="BB72" i="2"/>
  <c r="BA72" i="2"/>
  <c r="AZ72" i="2"/>
  <c r="AY72" i="2"/>
  <c r="BC48" i="2"/>
  <c r="BC49" i="2" s="1"/>
  <c r="BD48" i="2"/>
  <c r="BE48" i="2"/>
  <c r="BE49" i="2" s="1"/>
  <c r="BF48" i="2"/>
  <c r="BG48" i="2"/>
  <c r="BG49" i="2" s="1"/>
  <c r="BH48" i="2"/>
  <c r="BH49" i="2" s="1"/>
  <c r="BI48" i="2"/>
  <c r="BI49" i="2"/>
  <c r="BB28" i="2"/>
  <c r="CH28" i="2" s="1"/>
  <c r="BB26" i="2"/>
  <c r="CH26" i="2" s="1"/>
  <c r="BB24" i="2"/>
  <c r="CH24" i="2" s="1"/>
  <c r="BB22" i="2"/>
  <c r="BB21" i="2"/>
  <c r="CH21" i="2" s="1"/>
  <c r="BB19" i="2"/>
  <c r="CH19" i="2" s="1"/>
  <c r="BJ48" i="2"/>
  <c r="CJ48" i="2" s="1"/>
  <c r="BK48" i="2"/>
  <c r="BK49" i="2" s="1"/>
  <c r="BL48" i="2"/>
  <c r="BL49" i="2" s="1"/>
  <c r="BM48" i="2"/>
  <c r="BM49" i="2" s="1"/>
  <c r="BF28" i="2"/>
  <c r="BF26" i="2"/>
  <c r="CI26" i="2" s="1"/>
  <c r="BF24" i="2"/>
  <c r="CI24" i="2" s="1"/>
  <c r="BF22" i="2"/>
  <c r="CI22" i="2" s="1"/>
  <c r="BF21" i="2"/>
  <c r="CI21" i="2" s="1"/>
  <c r="BF19" i="2"/>
  <c r="CI19" i="2" s="1"/>
  <c r="CI64" i="2" s="1"/>
  <c r="BO48" i="2"/>
  <c r="BO49" i="2" s="1"/>
  <c r="BO63" i="2" s="1"/>
  <c r="BP48" i="2"/>
  <c r="BN48" i="2"/>
  <c r="CK48" i="2" s="1"/>
  <c r="BQ48" i="2"/>
  <c r="BR48" i="2"/>
  <c r="CL48" i="2" s="1"/>
  <c r="BS48" i="2"/>
  <c r="BS49" i="2" s="1"/>
  <c r="BJ28" i="2"/>
  <c r="CJ28" i="2" s="1"/>
  <c r="BJ26" i="2"/>
  <c r="BJ24" i="2"/>
  <c r="CJ24" i="2" s="1"/>
  <c r="BJ22" i="2"/>
  <c r="BJ21" i="2"/>
  <c r="CJ21" i="2" s="1"/>
  <c r="BJ19" i="2"/>
  <c r="CJ19" i="2" s="1"/>
  <c r="CJ64" i="2" s="1"/>
  <c r="BN28" i="2"/>
  <c r="CK28" i="2" s="1"/>
  <c r="BN26" i="2"/>
  <c r="BN24" i="2"/>
  <c r="BN22" i="2"/>
  <c r="CK22" i="2" s="1"/>
  <c r="BN21" i="2"/>
  <c r="CK21" i="2" s="1"/>
  <c r="BN19" i="2"/>
  <c r="CK19" i="2" s="1"/>
  <c r="CK64" i="2" s="1"/>
  <c r="BR28" i="2"/>
  <c r="CL28" i="2" s="1"/>
  <c r="BR26" i="2"/>
  <c r="BR24" i="2"/>
  <c r="CL24" i="2" s="1"/>
  <c r="BR22" i="2"/>
  <c r="CL22" i="2" s="1"/>
  <c r="BR21" i="2"/>
  <c r="CL21" i="2" s="1"/>
  <c r="BR19" i="2"/>
  <c r="BR64" i="2" s="1"/>
  <c r="BT56" i="2"/>
  <c r="BT58" i="2" s="1"/>
  <c r="BT49" i="2"/>
  <c r="BT6" i="2"/>
  <c r="BT11" i="2" s="1"/>
  <c r="BT5" i="2"/>
  <c r="BT10" i="2" s="1"/>
  <c r="BT4" i="2"/>
  <c r="BR71" i="2"/>
  <c r="BQ71" i="2"/>
  <c r="BP71" i="2"/>
  <c r="BP73" i="2" s="1"/>
  <c r="BO71" i="2"/>
  <c r="BN71" i="2"/>
  <c r="BM71" i="2"/>
  <c r="BM73" i="2" s="1"/>
  <c r="BL71" i="2"/>
  <c r="BK71" i="2"/>
  <c r="BJ71" i="2"/>
  <c r="BI71" i="2"/>
  <c r="BH71" i="2"/>
  <c r="BH73" i="2" s="1"/>
  <c r="BG71" i="2"/>
  <c r="BF71" i="2"/>
  <c r="BE71" i="2"/>
  <c r="BE73" i="2" s="1"/>
  <c r="BD71" i="2"/>
  <c r="BC71" i="2"/>
  <c r="BB71" i="2"/>
  <c r="BA71" i="2"/>
  <c r="AZ71" i="2"/>
  <c r="AZ73" i="2" s="1"/>
  <c r="AY71" i="2"/>
  <c r="BS71" i="2"/>
  <c r="BR56" i="2"/>
  <c r="BQ56" i="2"/>
  <c r="BQ58" i="2" s="1"/>
  <c r="BP56" i="2"/>
  <c r="BP58" i="2" s="1"/>
  <c r="BO56" i="2"/>
  <c r="BO58" i="2" s="1"/>
  <c r="BN56" i="2"/>
  <c r="BM56" i="2"/>
  <c r="BM58" i="2" s="1"/>
  <c r="BL56" i="2"/>
  <c r="BL58" i="2" s="1"/>
  <c r="BK56" i="2"/>
  <c r="BK58" i="2" s="1"/>
  <c r="BJ56" i="2"/>
  <c r="BI56" i="2"/>
  <c r="BI58" i="2" s="1"/>
  <c r="BH56" i="2"/>
  <c r="BH58" i="2" s="1"/>
  <c r="BG56" i="2"/>
  <c r="BG58" i="2" s="1"/>
  <c r="BF56" i="2"/>
  <c r="BE56" i="2"/>
  <c r="BE58" i="2" s="1"/>
  <c r="BD56" i="2"/>
  <c r="BD58" i="2" s="1"/>
  <c r="BC56" i="2"/>
  <c r="BC58" i="2" s="1"/>
  <c r="BS56" i="2"/>
  <c r="BS58" i="2" s="1"/>
  <c r="BQ49" i="2"/>
  <c r="BP49" i="2"/>
  <c r="BP63" i="2" s="1"/>
  <c r="BJ49" i="2"/>
  <c r="CJ49" i="2" s="1"/>
  <c r="BD49" i="2"/>
  <c r="BQ11" i="2"/>
  <c r="BP11" i="2"/>
  <c r="BO11" i="2"/>
  <c r="BM11" i="2"/>
  <c r="BL11" i="2"/>
  <c r="BK11" i="2"/>
  <c r="BI11" i="2"/>
  <c r="BH11" i="2"/>
  <c r="BG11" i="2"/>
  <c r="BE11" i="2"/>
  <c r="BD11" i="2"/>
  <c r="BC11" i="2"/>
  <c r="BQ10" i="2"/>
  <c r="BP10" i="2"/>
  <c r="BO10" i="2"/>
  <c r="BM10" i="2"/>
  <c r="BL10" i="2"/>
  <c r="BK10" i="2"/>
  <c r="BI10" i="2"/>
  <c r="BH10" i="2"/>
  <c r="BG10" i="2"/>
  <c r="BE10" i="2"/>
  <c r="BD10" i="2"/>
  <c r="BC10" i="2"/>
  <c r="BQ9" i="2"/>
  <c r="BP9" i="2"/>
  <c r="BO9" i="2"/>
  <c r="BM9" i="2"/>
  <c r="BL9" i="2"/>
  <c r="BK9" i="2"/>
  <c r="BI9" i="2"/>
  <c r="BH9" i="2"/>
  <c r="BG9" i="2"/>
  <c r="BE9" i="2"/>
  <c r="BD9" i="2"/>
  <c r="BC9" i="2"/>
  <c r="BS11" i="2"/>
  <c r="BS10" i="2"/>
  <c r="BS9" i="2"/>
  <c r="BB6" i="2"/>
  <c r="CH6" i="2" s="1"/>
  <c r="BB5" i="2"/>
  <c r="CH5" i="2" s="1"/>
  <c r="BB4" i="2"/>
  <c r="CH4" i="2" s="1"/>
  <c r="BF6" i="2"/>
  <c r="CI6" i="2" s="1"/>
  <c r="BF5" i="2"/>
  <c r="CI5" i="2" s="1"/>
  <c r="BF4" i="2"/>
  <c r="CI4" i="2" s="1"/>
  <c r="BJ6" i="2"/>
  <c r="CJ6" i="2" s="1"/>
  <c r="BJ5" i="2"/>
  <c r="BJ4" i="2"/>
  <c r="CJ4" i="2" s="1"/>
  <c r="BN6" i="2"/>
  <c r="BN5" i="2"/>
  <c r="CK5" i="2" s="1"/>
  <c r="BN4" i="2"/>
  <c r="CK4" i="2" s="1"/>
  <c r="BR6" i="2"/>
  <c r="CL6" i="2" s="1"/>
  <c r="BR5" i="2"/>
  <c r="CL5" i="2" s="1"/>
  <c r="BR4" i="2"/>
  <c r="CL4" i="2" s="1"/>
  <c r="BQ7" i="2"/>
  <c r="BQ15" i="2" s="1"/>
  <c r="BP7" i="2"/>
  <c r="BP18" i="2" s="1"/>
  <c r="BP35" i="2" s="1"/>
  <c r="BO7" i="2"/>
  <c r="BO18" i="2" s="1"/>
  <c r="BO35" i="2" s="1"/>
  <c r="BM7" i="2"/>
  <c r="BM15" i="2" s="1"/>
  <c r="BL7" i="2"/>
  <c r="BL15" i="2" s="1"/>
  <c r="BK7" i="2"/>
  <c r="BK15" i="2" s="1"/>
  <c r="BI7" i="2"/>
  <c r="BI18" i="2" s="1"/>
  <c r="BI20" i="2" s="1"/>
  <c r="BI23" i="2" s="1"/>
  <c r="BI25" i="2" s="1"/>
  <c r="BI27" i="2" s="1"/>
  <c r="BI31" i="2" s="1"/>
  <c r="BH7" i="2"/>
  <c r="BH18" i="2" s="1"/>
  <c r="BH35" i="2" s="1"/>
  <c r="BG7" i="2"/>
  <c r="BG14" i="2" s="1"/>
  <c r="BE7" i="2"/>
  <c r="BE15" i="2" s="1"/>
  <c r="BD7" i="2"/>
  <c r="BD15" i="2" s="1"/>
  <c r="BC7" i="2"/>
  <c r="BC15" i="2" s="1"/>
  <c r="BA7" i="2"/>
  <c r="BA16" i="2" s="1"/>
  <c r="AZ7" i="2"/>
  <c r="AZ16" i="2" s="1"/>
  <c r="AY7" i="2"/>
  <c r="AY15" i="2" s="1"/>
  <c r="BS7" i="2"/>
  <c r="BS15" i="2" s="1"/>
  <c r="BR49" i="2" l="1"/>
  <c r="CL49" i="2" s="1"/>
  <c r="BF73" i="2"/>
  <c r="BN73" i="2"/>
  <c r="CK72" i="2"/>
  <c r="BO34" i="2"/>
  <c r="CI72" i="2"/>
  <c r="BN49" i="2"/>
  <c r="CK49" i="2" s="1"/>
  <c r="CS44" i="2" s="1"/>
  <c r="BA73" i="2"/>
  <c r="BI73" i="2"/>
  <c r="BQ73" i="2"/>
  <c r="BP34" i="2"/>
  <c r="BN64" i="2"/>
  <c r="BI36" i="2"/>
  <c r="CJ11" i="2"/>
  <c r="CM4" i="2"/>
  <c r="CN4" i="2" s="1"/>
  <c r="CO4" i="2" s="1"/>
  <c r="CP4" i="2" s="1"/>
  <c r="CQ4" i="2" s="1"/>
  <c r="CR4" i="2" s="1"/>
  <c r="CS4" i="2" s="1"/>
  <c r="CT4" i="2" s="1"/>
  <c r="CU4" i="2" s="1"/>
  <c r="CV4" i="2" s="1"/>
  <c r="CL9" i="2"/>
  <c r="CK10" i="2"/>
  <c r="CI9" i="2"/>
  <c r="CK9" i="2"/>
  <c r="CI11" i="2"/>
  <c r="CJ9" i="2"/>
  <c r="CM5" i="2"/>
  <c r="CL10" i="2"/>
  <c r="CL19" i="2"/>
  <c r="CL64" i="2" s="1"/>
  <c r="BN58" i="2"/>
  <c r="CK58" i="2" s="1"/>
  <c r="CK56" i="2"/>
  <c r="BI33" i="2"/>
  <c r="BF64" i="2"/>
  <c r="CM6" i="2"/>
  <c r="CN6" i="2" s="1"/>
  <c r="CL11" i="2"/>
  <c r="BB73" i="2"/>
  <c r="BH34" i="2"/>
  <c r="BI38" i="2"/>
  <c r="BH63" i="2"/>
  <c r="BC73" i="2"/>
  <c r="CI71" i="2"/>
  <c r="BK73" i="2"/>
  <c r="CK71" i="2"/>
  <c r="BI34" i="2"/>
  <c r="BI63" i="2"/>
  <c r="CI7" i="2"/>
  <c r="CH22" i="2"/>
  <c r="CL26" i="2"/>
  <c r="BD73" i="2"/>
  <c r="BL73" i="2"/>
  <c r="BR34" i="2"/>
  <c r="BF58" i="2"/>
  <c r="CI58" i="2" s="1"/>
  <c r="CI56" i="2"/>
  <c r="CI10" i="2"/>
  <c r="CJ26" i="2"/>
  <c r="BJ73" i="2"/>
  <c r="CJ10" i="2"/>
  <c r="CK26" i="2"/>
  <c r="BJ58" i="2"/>
  <c r="CJ58" i="2" s="1"/>
  <c r="CJ56" i="2"/>
  <c r="BR58" i="2"/>
  <c r="CL58" i="2" s="1"/>
  <c r="CL56" i="2"/>
  <c r="BF49" i="2"/>
  <c r="CI49" i="2" s="1"/>
  <c r="CI48" i="2"/>
  <c r="BI37" i="2"/>
  <c r="CH72" i="2"/>
  <c r="CJ72" i="2"/>
  <c r="CL72" i="2"/>
  <c r="BJ64" i="2"/>
  <c r="BI65" i="2"/>
  <c r="CJ22" i="2"/>
  <c r="BS73" i="2"/>
  <c r="BI35" i="2"/>
  <c r="BI66" i="2"/>
  <c r="CK11" i="2"/>
  <c r="BR73" i="2"/>
  <c r="AY73" i="2"/>
  <c r="CH71" i="2"/>
  <c r="BG73" i="2"/>
  <c r="CJ71" i="2"/>
  <c r="BO73" i="2"/>
  <c r="CL73" i="2" s="1"/>
  <c r="CL71" i="2"/>
  <c r="BT71" i="2"/>
  <c r="BT73" i="2" s="1"/>
  <c r="BJ9" i="2"/>
  <c r="BI29" i="2"/>
  <c r="AY18" i="2"/>
  <c r="BD18" i="2"/>
  <c r="BE18" i="2"/>
  <c r="BL18" i="2"/>
  <c r="BR9" i="2"/>
  <c r="BJ11" i="2"/>
  <c r="BM18" i="2"/>
  <c r="BR10" i="2"/>
  <c r="BF9" i="2"/>
  <c r="AZ18" i="2"/>
  <c r="BG18" i="2"/>
  <c r="BN10" i="2"/>
  <c r="BA18" i="2"/>
  <c r="BQ18" i="2"/>
  <c r="BN11" i="2"/>
  <c r="BP20" i="2"/>
  <c r="BH20" i="2"/>
  <c r="BC18" i="2"/>
  <c r="BK18" i="2"/>
  <c r="BS18" i="2"/>
  <c r="BO20" i="2"/>
  <c r="BI12" i="2"/>
  <c r="AY14" i="2"/>
  <c r="BI15" i="2"/>
  <c r="BO12" i="2"/>
  <c r="BE12" i="2"/>
  <c r="AY16" i="2"/>
  <c r="BP12" i="2"/>
  <c r="BM12" i="2"/>
  <c r="BI14" i="2"/>
  <c r="BC16" i="2"/>
  <c r="BG12" i="2"/>
  <c r="BQ12" i="2"/>
  <c r="BQ14" i="2"/>
  <c r="BG16" i="2"/>
  <c r="BC14" i="2"/>
  <c r="BH12" i="2"/>
  <c r="BC12" i="2"/>
  <c r="BS16" i="2"/>
  <c r="BG15" i="2"/>
  <c r="BI68" i="2"/>
  <c r="BS12" i="2"/>
  <c r="BR11" i="2"/>
  <c r="BK14" i="2"/>
  <c r="BK12" i="2"/>
  <c r="BS14" i="2"/>
  <c r="BD14" i="2"/>
  <c r="BL14" i="2"/>
  <c r="AZ15" i="2"/>
  <c r="BH15" i="2"/>
  <c r="BP15" i="2"/>
  <c r="BD16" i="2"/>
  <c r="BL16" i="2"/>
  <c r="BT7" i="2"/>
  <c r="BJ10" i="2"/>
  <c r="BO15" i="2"/>
  <c r="BK16" i="2"/>
  <c r="BD12" i="2"/>
  <c r="BL12" i="2"/>
  <c r="BE14" i="2"/>
  <c r="BM14" i="2"/>
  <c r="BA15" i="2"/>
  <c r="BE16" i="2"/>
  <c r="BM16" i="2"/>
  <c r="BT9" i="2"/>
  <c r="BO14" i="2"/>
  <c r="BO16" i="2"/>
  <c r="AZ14" i="2"/>
  <c r="BH14" i="2"/>
  <c r="BP14" i="2"/>
  <c r="BH16" i="2"/>
  <c r="BP16" i="2"/>
  <c r="BN9" i="2"/>
  <c r="BA14" i="2"/>
  <c r="BI16" i="2"/>
  <c r="BQ16" i="2"/>
  <c r="BF10" i="2"/>
  <c r="BF11" i="2"/>
  <c r="BB7" i="2"/>
  <c r="CH7" i="2" s="1"/>
  <c r="CH15" i="2" s="1"/>
  <c r="BJ7" i="2"/>
  <c r="BJ18" i="2" s="1"/>
  <c r="BJ35" i="2" s="1"/>
  <c r="BF7" i="2"/>
  <c r="BF18" i="2" s="1"/>
  <c r="BN7" i="2"/>
  <c r="BN18" i="2" s="1"/>
  <c r="BR7" i="2"/>
  <c r="BR18" i="2" s="1"/>
  <c r="CN5" i="2" l="1"/>
  <c r="CO5" i="2" s="1"/>
  <c r="CP5" i="2" s="1"/>
  <c r="CQ5" i="2" s="1"/>
  <c r="CR5" i="2" s="1"/>
  <c r="CS5" i="2" s="1"/>
  <c r="CT5" i="2" s="1"/>
  <c r="CU5" i="2" s="1"/>
  <c r="CV5" i="2" s="1"/>
  <c r="CM7" i="2"/>
  <c r="CO6" i="2"/>
  <c r="CI73" i="2"/>
  <c r="CI12" i="2"/>
  <c r="CH73" i="2"/>
  <c r="CJ7" i="2"/>
  <c r="CJ12" i="2" s="1"/>
  <c r="CI14" i="2"/>
  <c r="CK7" i="2"/>
  <c r="CH16" i="2"/>
  <c r="CI16" i="2"/>
  <c r="BN20" i="2"/>
  <c r="BN63" i="2"/>
  <c r="BN34" i="2"/>
  <c r="BF20" i="2"/>
  <c r="BF63" i="2"/>
  <c r="BF34" i="2"/>
  <c r="BE20" i="2"/>
  <c r="BE63" i="2"/>
  <c r="BE34" i="2"/>
  <c r="BE35" i="2"/>
  <c r="BD63" i="2"/>
  <c r="BD34" i="2"/>
  <c r="BD35" i="2"/>
  <c r="BJ34" i="2"/>
  <c r="BH23" i="2"/>
  <c r="BH33" i="2"/>
  <c r="AY20" i="2"/>
  <c r="CH18" i="2"/>
  <c r="CH34" i="2" s="1"/>
  <c r="AY34" i="2"/>
  <c r="AY35" i="2"/>
  <c r="CJ73" i="2"/>
  <c r="CL7" i="2"/>
  <c r="BN35" i="2"/>
  <c r="CH14" i="2"/>
  <c r="BK20" i="2"/>
  <c r="BK35" i="2"/>
  <c r="BK63" i="2"/>
  <c r="BK34" i="2"/>
  <c r="CK18" i="2"/>
  <c r="CJ15" i="2"/>
  <c r="BC20" i="2"/>
  <c r="BC63" i="2"/>
  <c r="BC34" i="2"/>
  <c r="BC35" i="2"/>
  <c r="CI18" i="2"/>
  <c r="BP23" i="2"/>
  <c r="BP33" i="2"/>
  <c r="BF35" i="2"/>
  <c r="BL20" i="2"/>
  <c r="BL63" i="2"/>
  <c r="BL34" i="2"/>
  <c r="BL35" i="2"/>
  <c r="AZ35" i="2"/>
  <c r="AZ34" i="2"/>
  <c r="BO23" i="2"/>
  <c r="BO33" i="2"/>
  <c r="BM20" i="2"/>
  <c r="BM63" i="2"/>
  <c r="BM34" i="2"/>
  <c r="BM35" i="2"/>
  <c r="CI15" i="2"/>
  <c r="BG20" i="2"/>
  <c r="CJ18" i="2"/>
  <c r="CJ35" i="2" s="1"/>
  <c r="BG34" i="2"/>
  <c r="BG35" i="2"/>
  <c r="BG63" i="2"/>
  <c r="AZ20" i="2"/>
  <c r="BD20" i="2"/>
  <c r="BQ20" i="2"/>
  <c r="CL20" i="2" s="1"/>
  <c r="BQ35" i="2"/>
  <c r="BQ63" i="2"/>
  <c r="BQ34" i="2"/>
  <c r="CK73" i="2"/>
  <c r="BJ20" i="2"/>
  <c r="BJ33" i="2" s="1"/>
  <c r="BJ63" i="2"/>
  <c r="BR20" i="2"/>
  <c r="BR63" i="2"/>
  <c r="BS63" i="2"/>
  <c r="BS34" i="2"/>
  <c r="BS35" i="2"/>
  <c r="BA20" i="2"/>
  <c r="BA35" i="2"/>
  <c r="BA34" i="2"/>
  <c r="BR35" i="2"/>
  <c r="CL18" i="2"/>
  <c r="CJ14" i="2"/>
  <c r="BS20" i="2"/>
  <c r="BT12" i="2"/>
  <c r="BT18" i="2"/>
  <c r="BB15" i="2"/>
  <c r="BB18" i="2"/>
  <c r="BT14" i="2"/>
  <c r="BR15" i="2"/>
  <c r="BR12" i="2"/>
  <c r="BN12" i="2"/>
  <c r="BN14" i="2"/>
  <c r="BT15" i="2"/>
  <c r="BF12" i="2"/>
  <c r="BF16" i="2"/>
  <c r="BF14" i="2"/>
  <c r="BB16" i="2"/>
  <c r="BB14" i="2"/>
  <c r="BJ15" i="2"/>
  <c r="BJ12" i="2"/>
  <c r="BJ16" i="2"/>
  <c r="BF15" i="2"/>
  <c r="BR14" i="2"/>
  <c r="BT16" i="2"/>
  <c r="BR16" i="2"/>
  <c r="BN15" i="2"/>
  <c r="BN16" i="2"/>
  <c r="BJ14" i="2"/>
  <c r="CN7" i="2" l="1"/>
  <c r="CN12" i="2" s="1"/>
  <c r="CP6" i="2"/>
  <c r="CO7" i="2"/>
  <c r="CL33" i="2"/>
  <c r="CJ16" i="2"/>
  <c r="BJ23" i="2"/>
  <c r="BK23" i="2"/>
  <c r="CK20" i="2"/>
  <c r="CK33" i="2" s="1"/>
  <c r="BK33" i="2"/>
  <c r="CL63" i="2"/>
  <c r="CL35" i="2"/>
  <c r="CL34" i="2"/>
  <c r="CJ63" i="2"/>
  <c r="CJ34" i="2"/>
  <c r="BM23" i="2"/>
  <c r="BM33" i="2"/>
  <c r="BT20" i="2"/>
  <c r="BT63" i="2"/>
  <c r="BT34" i="2"/>
  <c r="BT35" i="2"/>
  <c r="BR23" i="2"/>
  <c r="BR33" i="2"/>
  <c r="BG23" i="2"/>
  <c r="BG33" i="2"/>
  <c r="CJ20" i="2"/>
  <c r="CJ33" i="2" s="1"/>
  <c r="BL23" i="2"/>
  <c r="BL33" i="2"/>
  <c r="BC23" i="2"/>
  <c r="BC33" i="2"/>
  <c r="CI20" i="2"/>
  <c r="CI33" i="2" s="1"/>
  <c r="BH25" i="2"/>
  <c r="BH36" i="2"/>
  <c r="BN23" i="2"/>
  <c r="BN33" i="2"/>
  <c r="AY23" i="2"/>
  <c r="AY33" i="2"/>
  <c r="BQ23" i="2"/>
  <c r="CL23" i="2" s="1"/>
  <c r="CL36" i="2" s="1"/>
  <c r="BQ33" i="2"/>
  <c r="CL12" i="2"/>
  <c r="CL16" i="2"/>
  <c r="CL15" i="2"/>
  <c r="CL14" i="2"/>
  <c r="BE23" i="2"/>
  <c r="BE33" i="2"/>
  <c r="BD23" i="2"/>
  <c r="BD33" i="2"/>
  <c r="BO25" i="2"/>
  <c r="BO36" i="2"/>
  <c r="CK63" i="2"/>
  <c r="CK34" i="2"/>
  <c r="CK35" i="2"/>
  <c r="BB20" i="2"/>
  <c r="CH20" i="2" s="1"/>
  <c r="CH33" i="2" s="1"/>
  <c r="BB35" i="2"/>
  <c r="BB34" i="2"/>
  <c r="BA23" i="2"/>
  <c r="BA33" i="2"/>
  <c r="AZ23" i="2"/>
  <c r="AZ33" i="2"/>
  <c r="BP25" i="2"/>
  <c r="BP36" i="2"/>
  <c r="CK12" i="2"/>
  <c r="CK14" i="2"/>
  <c r="CK15" i="2"/>
  <c r="CK16" i="2"/>
  <c r="BS23" i="2"/>
  <c r="BS33" i="2"/>
  <c r="BJ25" i="2"/>
  <c r="BJ36" i="2"/>
  <c r="CH35" i="2"/>
  <c r="CI63" i="2"/>
  <c r="CI35" i="2"/>
  <c r="CI34" i="2"/>
  <c r="BF23" i="2"/>
  <c r="BF33" i="2"/>
  <c r="CO12" i="2" l="1"/>
  <c r="CQ6" i="2"/>
  <c r="CP7" i="2"/>
  <c r="CP12" i="2" s="1"/>
  <c r="BJ27" i="2"/>
  <c r="BJ37" i="2"/>
  <c r="AZ25" i="2"/>
  <c r="AZ36" i="2"/>
  <c r="BL25" i="2"/>
  <c r="BL36" i="2"/>
  <c r="BP27" i="2"/>
  <c r="BP37" i="2"/>
  <c r="BR25" i="2"/>
  <c r="BR36" i="2"/>
  <c r="BS25" i="2"/>
  <c r="BS36" i="2"/>
  <c r="BO27" i="2"/>
  <c r="BO37" i="2"/>
  <c r="BN25" i="2"/>
  <c r="BN36" i="2"/>
  <c r="BT23" i="2"/>
  <c r="BT33" i="2"/>
  <c r="BF25" i="2"/>
  <c r="BF36" i="2"/>
  <c r="BC25" i="2"/>
  <c r="CI23" i="2"/>
  <c r="CI36" i="2" s="1"/>
  <c r="BC36" i="2"/>
  <c r="AY25" i="2"/>
  <c r="AY36" i="2"/>
  <c r="BQ25" i="2"/>
  <c r="BQ36" i="2"/>
  <c r="BE25" i="2"/>
  <c r="BE36" i="2"/>
  <c r="BA25" i="2"/>
  <c r="BA36" i="2"/>
  <c r="BB23" i="2"/>
  <c r="BB33" i="2"/>
  <c r="BD25" i="2"/>
  <c r="BD36" i="2"/>
  <c r="BH27" i="2"/>
  <c r="BH37" i="2"/>
  <c r="BG25" i="2"/>
  <c r="BG36" i="2"/>
  <c r="CJ23" i="2"/>
  <c r="CJ36" i="2" s="1"/>
  <c r="BM25" i="2"/>
  <c r="BM36" i="2"/>
  <c r="BK25" i="2"/>
  <c r="CK23" i="2"/>
  <c r="CK36" i="2" s="1"/>
  <c r="BK36" i="2"/>
  <c r="G1415" i="3"/>
  <c r="G1414" i="3"/>
  <c r="G1413" i="3"/>
  <c r="G1412" i="3"/>
  <c r="G1411" i="3"/>
  <c r="G1410" i="3"/>
  <c r="G1409" i="3"/>
  <c r="G1408" i="3"/>
  <c r="G1407" i="3"/>
  <c r="G1406" i="3"/>
  <c r="G1405" i="3"/>
  <c r="G1404" i="3"/>
  <c r="G1403" i="3"/>
  <c r="G1402" i="3"/>
  <c r="G1401" i="3"/>
  <c r="G1400" i="3"/>
  <c r="G1399" i="3"/>
  <c r="G1398" i="3"/>
  <c r="G1397" i="3"/>
  <c r="G1396" i="3"/>
  <c r="G1395" i="3"/>
  <c r="G1394" i="3"/>
  <c r="G1393" i="3"/>
  <c r="G1392" i="3"/>
  <c r="G1391" i="3"/>
  <c r="G1390" i="3"/>
  <c r="G1389" i="3"/>
  <c r="G1388" i="3"/>
  <c r="G1387" i="3"/>
  <c r="G1386" i="3"/>
  <c r="G1385" i="3"/>
  <c r="G1384" i="3"/>
  <c r="G1383" i="3"/>
  <c r="G1382" i="3"/>
  <c r="G1381" i="3"/>
  <c r="G1380" i="3"/>
  <c r="G1379" i="3"/>
  <c r="G1378" i="3"/>
  <c r="G1377" i="3"/>
  <c r="G1376" i="3"/>
  <c r="G1375" i="3"/>
  <c r="G1374" i="3"/>
  <c r="G1373" i="3"/>
  <c r="G1372" i="3"/>
  <c r="G1371" i="3"/>
  <c r="G1370" i="3"/>
  <c r="G1369" i="3"/>
  <c r="G1368" i="3"/>
  <c r="G1367" i="3"/>
  <c r="G1366" i="3"/>
  <c r="G1365" i="3"/>
  <c r="G1364" i="3"/>
  <c r="G1363" i="3"/>
  <c r="G1362" i="3"/>
  <c r="G1361" i="3"/>
  <c r="G1360" i="3"/>
  <c r="G1359" i="3"/>
  <c r="G1358" i="3"/>
  <c r="G1357" i="3"/>
  <c r="G1356" i="3"/>
  <c r="G1355" i="3"/>
  <c r="G1354" i="3"/>
  <c r="G1353" i="3"/>
  <c r="G1352" i="3"/>
  <c r="G1351" i="3"/>
  <c r="G1350" i="3"/>
  <c r="G1349" i="3"/>
  <c r="G1348" i="3"/>
  <c r="G1347" i="3"/>
  <c r="G1346" i="3"/>
  <c r="G1345" i="3"/>
  <c r="G1344" i="3"/>
  <c r="G1343" i="3"/>
  <c r="G1342" i="3"/>
  <c r="G1341" i="3"/>
  <c r="G1340" i="3"/>
  <c r="G1339" i="3"/>
  <c r="G1338" i="3"/>
  <c r="G1337" i="3"/>
  <c r="G1336" i="3"/>
  <c r="G1335" i="3"/>
  <c r="G1334" i="3"/>
  <c r="G1333" i="3"/>
  <c r="G1332" i="3"/>
  <c r="G1331" i="3"/>
  <c r="G1330" i="3"/>
  <c r="G1329" i="3"/>
  <c r="G1328" i="3"/>
  <c r="G1327" i="3"/>
  <c r="G1326" i="3"/>
  <c r="G1325" i="3"/>
  <c r="G1324" i="3"/>
  <c r="G1323" i="3"/>
  <c r="G1322" i="3"/>
  <c r="G1321" i="3"/>
  <c r="G1320" i="3"/>
  <c r="G1319" i="3"/>
  <c r="G1318" i="3"/>
  <c r="G1317" i="3"/>
  <c r="G1316" i="3"/>
  <c r="G1315" i="3"/>
  <c r="G1314" i="3"/>
  <c r="G1313" i="3"/>
  <c r="G1312" i="3"/>
  <c r="G1311" i="3"/>
  <c r="G1310" i="3"/>
  <c r="G1309" i="3"/>
  <c r="G1308" i="3"/>
  <c r="G1307" i="3"/>
  <c r="G1306" i="3"/>
  <c r="G1305" i="3"/>
  <c r="G1304" i="3"/>
  <c r="G1303" i="3"/>
  <c r="G1302" i="3"/>
  <c r="G1301" i="3"/>
  <c r="G1300" i="3"/>
  <c r="G1299" i="3"/>
  <c r="G1298" i="3"/>
  <c r="G1297" i="3"/>
  <c r="G1296" i="3"/>
  <c r="G1295" i="3"/>
  <c r="G1294" i="3"/>
  <c r="G1293" i="3"/>
  <c r="G1292" i="3"/>
  <c r="G1291" i="3"/>
  <c r="G1290" i="3"/>
  <c r="G1289" i="3"/>
  <c r="G1288" i="3"/>
  <c r="G1287" i="3"/>
  <c r="G1286" i="3"/>
  <c r="G1285" i="3"/>
  <c r="G1284" i="3"/>
  <c r="G1283" i="3"/>
  <c r="G1282" i="3"/>
  <c r="G1281" i="3"/>
  <c r="G1280" i="3"/>
  <c r="G1279" i="3"/>
  <c r="G1278" i="3"/>
  <c r="G1277" i="3"/>
  <c r="G1276" i="3"/>
  <c r="G1275" i="3"/>
  <c r="G1274" i="3"/>
  <c r="G1273" i="3"/>
  <c r="G1272" i="3"/>
  <c r="G1271" i="3"/>
  <c r="G1270" i="3"/>
  <c r="G1269" i="3"/>
  <c r="G1268" i="3"/>
  <c r="G1267" i="3"/>
  <c r="G1266" i="3"/>
  <c r="G1265" i="3"/>
  <c r="G1264" i="3"/>
  <c r="G1263" i="3"/>
  <c r="G1262" i="3"/>
  <c r="G1261" i="3"/>
  <c r="G1260" i="3"/>
  <c r="G1259" i="3"/>
  <c r="G1258" i="3"/>
  <c r="G1257" i="3"/>
  <c r="G1256" i="3"/>
  <c r="G1255" i="3"/>
  <c r="G1254" i="3"/>
  <c r="G1253" i="3"/>
  <c r="G1252" i="3"/>
  <c r="G1251" i="3"/>
  <c r="G1250" i="3"/>
  <c r="G1249" i="3"/>
  <c r="G1248" i="3"/>
  <c r="G1247" i="3"/>
  <c r="G1246" i="3"/>
  <c r="G1245" i="3"/>
  <c r="G1244" i="3"/>
  <c r="G1243" i="3"/>
  <c r="G1242" i="3"/>
  <c r="G1241" i="3"/>
  <c r="G1240" i="3"/>
  <c r="G1239" i="3"/>
  <c r="G1238" i="3"/>
  <c r="G1237" i="3"/>
  <c r="G1236" i="3"/>
  <c r="G1235" i="3"/>
  <c r="G1234" i="3"/>
  <c r="G1233" i="3"/>
  <c r="G1232" i="3"/>
  <c r="G1231" i="3"/>
  <c r="G1230" i="3"/>
  <c r="G1229" i="3"/>
  <c r="G1228" i="3"/>
  <c r="G1227" i="3"/>
  <c r="G1226" i="3"/>
  <c r="G1225" i="3"/>
  <c r="G1224" i="3"/>
  <c r="G1223" i="3"/>
  <c r="G1222" i="3"/>
  <c r="G1221" i="3"/>
  <c r="G1220" i="3"/>
  <c r="G1219" i="3"/>
  <c r="G1218" i="3"/>
  <c r="G1217" i="3"/>
  <c r="G1216" i="3"/>
  <c r="G1215" i="3"/>
  <c r="G1214" i="3"/>
  <c r="G1213" i="3"/>
  <c r="G1212" i="3"/>
  <c r="G1211" i="3"/>
  <c r="G1210" i="3"/>
  <c r="G1209" i="3"/>
  <c r="G1208" i="3"/>
  <c r="G1207" i="3"/>
  <c r="G1206" i="3"/>
  <c r="G1205" i="3"/>
  <c r="G1204" i="3"/>
  <c r="G1203" i="3"/>
  <c r="G1202" i="3"/>
  <c r="G1201" i="3"/>
  <c r="G1200" i="3"/>
  <c r="G1199" i="3"/>
  <c r="G1198" i="3"/>
  <c r="G1197" i="3"/>
  <c r="G1196" i="3"/>
  <c r="G1195" i="3"/>
  <c r="G1194" i="3"/>
  <c r="G1193" i="3"/>
  <c r="G1192" i="3"/>
  <c r="G1191" i="3"/>
  <c r="G1190" i="3"/>
  <c r="G1189" i="3"/>
  <c r="G1188" i="3"/>
  <c r="G1187" i="3"/>
  <c r="G1186" i="3"/>
  <c r="G1185" i="3"/>
  <c r="G1184" i="3"/>
  <c r="G1183" i="3"/>
  <c r="G1182" i="3"/>
  <c r="G1181" i="3"/>
  <c r="G1180" i="3"/>
  <c r="G1179" i="3"/>
  <c r="G1178" i="3"/>
  <c r="G1177" i="3"/>
  <c r="G1176" i="3"/>
  <c r="G1175" i="3"/>
  <c r="G1174" i="3"/>
  <c r="G1173" i="3"/>
  <c r="G1172" i="3"/>
  <c r="G1171" i="3"/>
  <c r="G1170" i="3"/>
  <c r="G1169" i="3"/>
  <c r="G1168" i="3"/>
  <c r="G1167" i="3"/>
  <c r="G1166" i="3"/>
  <c r="G1165" i="3"/>
  <c r="G1164" i="3"/>
  <c r="G1163" i="3"/>
  <c r="G1162" i="3"/>
  <c r="G1161" i="3"/>
  <c r="G1160" i="3"/>
  <c r="G1159" i="3"/>
  <c r="G1158" i="3"/>
  <c r="G1157" i="3"/>
  <c r="G1156" i="3"/>
  <c r="G1155" i="3"/>
  <c r="G1154" i="3"/>
  <c r="G1153" i="3"/>
  <c r="G1152" i="3"/>
  <c r="G1151" i="3"/>
  <c r="G1150" i="3"/>
  <c r="G1149" i="3"/>
  <c r="G1148" i="3"/>
  <c r="G1147" i="3"/>
  <c r="G1146" i="3"/>
  <c r="G1145" i="3"/>
  <c r="G1144" i="3"/>
  <c r="G1143" i="3"/>
  <c r="G1142" i="3"/>
  <c r="G1141" i="3"/>
  <c r="G1140" i="3"/>
  <c r="G1139" i="3"/>
  <c r="G1138" i="3"/>
  <c r="G1137" i="3"/>
  <c r="G1136" i="3"/>
  <c r="G1135" i="3"/>
  <c r="G1134" i="3"/>
  <c r="G1133" i="3"/>
  <c r="G1132" i="3"/>
  <c r="G1131" i="3"/>
  <c r="G1130" i="3"/>
  <c r="G1129" i="3"/>
  <c r="G1128" i="3"/>
  <c r="G1127" i="3"/>
  <c r="G1126" i="3"/>
  <c r="G1125" i="3"/>
  <c r="G1124" i="3"/>
  <c r="G1123" i="3"/>
  <c r="G1122" i="3"/>
  <c r="G1121" i="3"/>
  <c r="G1120" i="3"/>
  <c r="G1119" i="3"/>
  <c r="G1118" i="3"/>
  <c r="G1117" i="3"/>
  <c r="G1116" i="3"/>
  <c r="G1115" i="3"/>
  <c r="G1114" i="3"/>
  <c r="G1113" i="3"/>
  <c r="G1112" i="3"/>
  <c r="G1111" i="3"/>
  <c r="G1110" i="3"/>
  <c r="G1109" i="3"/>
  <c r="G1108" i="3"/>
  <c r="G1107" i="3"/>
  <c r="G1106" i="3"/>
  <c r="G1105" i="3"/>
  <c r="G1104" i="3"/>
  <c r="G1103" i="3"/>
  <c r="G1102" i="3"/>
  <c r="G1101" i="3"/>
  <c r="G1100" i="3"/>
  <c r="G1099" i="3"/>
  <c r="G1098" i="3"/>
  <c r="G1097" i="3"/>
  <c r="G1096" i="3"/>
  <c r="G1095" i="3"/>
  <c r="G1094" i="3"/>
  <c r="G1093" i="3"/>
  <c r="G1092" i="3"/>
  <c r="G1091" i="3"/>
  <c r="G1090" i="3"/>
  <c r="G1089" i="3"/>
  <c r="G1088" i="3"/>
  <c r="G1087" i="3"/>
  <c r="G1086" i="3"/>
  <c r="G1085" i="3"/>
  <c r="G1084" i="3"/>
  <c r="G1083" i="3"/>
  <c r="G1082" i="3"/>
  <c r="G1081" i="3"/>
  <c r="G1080" i="3"/>
  <c r="G1079" i="3"/>
  <c r="G1078" i="3"/>
  <c r="G1077" i="3"/>
  <c r="G1076" i="3"/>
  <c r="G1075" i="3"/>
  <c r="G1074" i="3"/>
  <c r="G1073" i="3"/>
  <c r="G1072" i="3"/>
  <c r="G1071" i="3"/>
  <c r="G1070" i="3"/>
  <c r="G1069" i="3"/>
  <c r="G1068" i="3"/>
  <c r="G1067" i="3"/>
  <c r="G1066" i="3"/>
  <c r="G1065" i="3"/>
  <c r="G1064" i="3"/>
  <c r="G1063" i="3"/>
  <c r="G1062" i="3"/>
  <c r="G1061" i="3"/>
  <c r="G1060" i="3"/>
  <c r="G1059" i="3"/>
  <c r="G1058" i="3"/>
  <c r="G1057" i="3"/>
  <c r="G1056" i="3"/>
  <c r="G1055" i="3"/>
  <c r="G1054" i="3"/>
  <c r="G1053" i="3"/>
  <c r="G1052" i="3"/>
  <c r="G1051" i="3"/>
  <c r="G1050" i="3"/>
  <c r="G1049" i="3"/>
  <c r="G1048" i="3"/>
  <c r="G1047" i="3"/>
  <c r="G1046" i="3"/>
  <c r="G1045" i="3"/>
  <c r="G1044" i="3"/>
  <c r="G1043" i="3"/>
  <c r="G1042" i="3"/>
  <c r="G1041" i="3"/>
  <c r="G1040" i="3"/>
  <c r="G1039" i="3"/>
  <c r="G1038" i="3"/>
  <c r="G1037" i="3"/>
  <c r="G1036" i="3"/>
  <c r="G1035" i="3"/>
  <c r="G1034" i="3"/>
  <c r="G1033" i="3"/>
  <c r="G1032" i="3"/>
  <c r="G1031" i="3"/>
  <c r="G1030" i="3"/>
  <c r="G1029" i="3"/>
  <c r="G1028" i="3"/>
  <c r="G1027" i="3"/>
  <c r="G1026" i="3"/>
  <c r="G1025" i="3"/>
  <c r="G1024" i="3"/>
  <c r="G1023" i="3"/>
  <c r="G1022" i="3"/>
  <c r="G1021" i="3"/>
  <c r="G1020" i="3"/>
  <c r="G1019" i="3"/>
  <c r="G1018" i="3"/>
  <c r="G1017" i="3"/>
  <c r="G1016" i="3"/>
  <c r="G1015" i="3"/>
  <c r="G1014" i="3"/>
  <c r="G1013" i="3"/>
  <c r="G1012" i="3"/>
  <c r="G1011" i="3"/>
  <c r="G1010" i="3"/>
  <c r="G1009" i="3"/>
  <c r="G1008" i="3"/>
  <c r="G1007" i="3"/>
  <c r="G1006" i="3"/>
  <c r="G1005" i="3"/>
  <c r="G1004" i="3"/>
  <c r="G1003" i="3"/>
  <c r="G1002" i="3"/>
  <c r="G1001" i="3"/>
  <c r="G1000" i="3"/>
  <c r="G999" i="3"/>
  <c r="G998" i="3"/>
  <c r="G997" i="3"/>
  <c r="G996" i="3"/>
  <c r="G995" i="3"/>
  <c r="G994" i="3"/>
  <c r="G993" i="3"/>
  <c r="G992" i="3"/>
  <c r="G991" i="3"/>
  <c r="G990" i="3"/>
  <c r="G989" i="3"/>
  <c r="G988" i="3"/>
  <c r="G987" i="3"/>
  <c r="G986" i="3"/>
  <c r="G985" i="3"/>
  <c r="G984" i="3"/>
  <c r="G983" i="3"/>
  <c r="G982" i="3"/>
  <c r="G981" i="3"/>
  <c r="G980" i="3"/>
  <c r="G979" i="3"/>
  <c r="G978" i="3"/>
  <c r="G977" i="3"/>
  <c r="G976" i="3"/>
  <c r="G975" i="3"/>
  <c r="G974" i="3"/>
  <c r="G973" i="3"/>
  <c r="G972" i="3"/>
  <c r="G971" i="3"/>
  <c r="G970" i="3"/>
  <c r="G969" i="3"/>
  <c r="G968" i="3"/>
  <c r="G967" i="3"/>
  <c r="G966" i="3"/>
  <c r="G965" i="3"/>
  <c r="G964" i="3"/>
  <c r="G963" i="3"/>
  <c r="G962" i="3"/>
  <c r="G961" i="3"/>
  <c r="G960" i="3"/>
  <c r="G959" i="3"/>
  <c r="G958" i="3"/>
  <c r="G957" i="3"/>
  <c r="G956" i="3"/>
  <c r="G955" i="3"/>
  <c r="G954" i="3"/>
  <c r="G953" i="3"/>
  <c r="G952" i="3"/>
  <c r="G951" i="3"/>
  <c r="G950" i="3"/>
  <c r="G949" i="3"/>
  <c r="G948" i="3"/>
  <c r="G947" i="3"/>
  <c r="G946" i="3"/>
  <c r="G945" i="3"/>
  <c r="G944" i="3"/>
  <c r="G943" i="3"/>
  <c r="G942" i="3"/>
  <c r="G941" i="3"/>
  <c r="G940" i="3"/>
  <c r="G939" i="3"/>
  <c r="G938" i="3"/>
  <c r="G937" i="3"/>
  <c r="G936" i="3"/>
  <c r="G935" i="3"/>
  <c r="G934" i="3"/>
  <c r="G933" i="3"/>
  <c r="G932" i="3"/>
  <c r="G931" i="3"/>
  <c r="G930" i="3"/>
  <c r="G929" i="3"/>
  <c r="G928" i="3"/>
  <c r="G927" i="3"/>
  <c r="G926" i="3"/>
  <c r="G925" i="3"/>
  <c r="G924" i="3"/>
  <c r="G923" i="3"/>
  <c r="G922" i="3"/>
  <c r="G921" i="3"/>
  <c r="G920" i="3"/>
  <c r="G919" i="3"/>
  <c r="G918" i="3"/>
  <c r="G917" i="3"/>
  <c r="G916" i="3"/>
  <c r="G915" i="3"/>
  <c r="G914" i="3"/>
  <c r="G913" i="3"/>
  <c r="G912" i="3"/>
  <c r="G911" i="3"/>
  <c r="G910" i="3"/>
  <c r="G909" i="3"/>
  <c r="G908" i="3"/>
  <c r="G907" i="3"/>
  <c r="G906" i="3"/>
  <c r="G905" i="3"/>
  <c r="G904" i="3"/>
  <c r="G903" i="3"/>
  <c r="G902" i="3"/>
  <c r="G901" i="3"/>
  <c r="G900" i="3"/>
  <c r="G899" i="3"/>
  <c r="G898" i="3"/>
  <c r="G897" i="3"/>
  <c r="G896" i="3"/>
  <c r="G895" i="3"/>
  <c r="G894" i="3"/>
  <c r="G893" i="3"/>
  <c r="G892" i="3"/>
  <c r="G891" i="3"/>
  <c r="G890" i="3"/>
  <c r="G889" i="3"/>
  <c r="G888" i="3"/>
  <c r="G887" i="3"/>
  <c r="G886" i="3"/>
  <c r="G885" i="3"/>
  <c r="G884" i="3"/>
  <c r="G883" i="3"/>
  <c r="G882" i="3"/>
  <c r="G881" i="3"/>
  <c r="G880" i="3"/>
  <c r="G879" i="3"/>
  <c r="G878" i="3"/>
  <c r="G877" i="3"/>
  <c r="G876" i="3"/>
  <c r="G875" i="3"/>
  <c r="G874" i="3"/>
  <c r="G873" i="3"/>
  <c r="G872" i="3"/>
  <c r="G871" i="3"/>
  <c r="G870" i="3"/>
  <c r="G869" i="3"/>
  <c r="G868" i="3"/>
  <c r="G867" i="3"/>
  <c r="G866" i="3"/>
  <c r="G865" i="3"/>
  <c r="G864" i="3"/>
  <c r="G863" i="3"/>
  <c r="G862" i="3"/>
  <c r="G861" i="3"/>
  <c r="G860" i="3"/>
  <c r="G859" i="3"/>
  <c r="G858" i="3"/>
  <c r="G857" i="3"/>
  <c r="G856" i="3"/>
  <c r="G855" i="3"/>
  <c r="G854" i="3"/>
  <c r="G853" i="3"/>
  <c r="G852" i="3"/>
  <c r="G851" i="3"/>
  <c r="G850" i="3"/>
  <c r="G849" i="3"/>
  <c r="G848" i="3"/>
  <c r="G847" i="3"/>
  <c r="G846" i="3"/>
  <c r="G845" i="3"/>
  <c r="G844" i="3"/>
  <c r="G843" i="3"/>
  <c r="G842" i="3"/>
  <c r="G841" i="3"/>
  <c r="G840" i="3"/>
  <c r="G839" i="3"/>
  <c r="G838" i="3"/>
  <c r="G837" i="3"/>
  <c r="G836" i="3"/>
  <c r="G835" i="3"/>
  <c r="G834" i="3"/>
  <c r="G833" i="3"/>
  <c r="G832" i="3"/>
  <c r="G831" i="3"/>
  <c r="G830" i="3"/>
  <c r="G829" i="3"/>
  <c r="G828" i="3"/>
  <c r="G827" i="3"/>
  <c r="G826" i="3"/>
  <c r="G825" i="3"/>
  <c r="G824" i="3"/>
  <c r="G823" i="3"/>
  <c r="G822" i="3"/>
  <c r="G821" i="3"/>
  <c r="G820" i="3"/>
  <c r="G819" i="3"/>
  <c r="G818" i="3"/>
  <c r="G817" i="3"/>
  <c r="G816" i="3"/>
  <c r="G815" i="3"/>
  <c r="G814" i="3"/>
  <c r="G813" i="3"/>
  <c r="G812" i="3"/>
  <c r="G811" i="3"/>
  <c r="G810" i="3"/>
  <c r="G809" i="3"/>
  <c r="G808" i="3"/>
  <c r="G807" i="3"/>
  <c r="G806" i="3"/>
  <c r="G805" i="3"/>
  <c r="G804" i="3"/>
  <c r="G803" i="3"/>
  <c r="G802" i="3"/>
  <c r="G801" i="3"/>
  <c r="G800" i="3"/>
  <c r="G799" i="3"/>
  <c r="G798" i="3"/>
  <c r="G797" i="3"/>
  <c r="G796" i="3"/>
  <c r="G795" i="3"/>
  <c r="G794" i="3"/>
  <c r="G793" i="3"/>
  <c r="G792" i="3"/>
  <c r="G791" i="3"/>
  <c r="G790" i="3"/>
  <c r="G789" i="3"/>
  <c r="G788" i="3"/>
  <c r="G787" i="3"/>
  <c r="G786" i="3"/>
  <c r="G785" i="3"/>
  <c r="G784" i="3"/>
  <c r="G783" i="3"/>
  <c r="G782" i="3"/>
  <c r="G781" i="3"/>
  <c r="G780" i="3"/>
  <c r="G779" i="3"/>
  <c r="G778" i="3"/>
  <c r="G777" i="3"/>
  <c r="G776" i="3"/>
  <c r="G775" i="3"/>
  <c r="G774" i="3"/>
  <c r="G773" i="3"/>
  <c r="G772" i="3"/>
  <c r="G771" i="3"/>
  <c r="G770" i="3"/>
  <c r="G769" i="3"/>
  <c r="G768" i="3"/>
  <c r="G767" i="3"/>
  <c r="G766" i="3"/>
  <c r="G765" i="3"/>
  <c r="G764" i="3"/>
  <c r="G763" i="3"/>
  <c r="G762" i="3"/>
  <c r="G761" i="3"/>
  <c r="G760" i="3"/>
  <c r="G759" i="3"/>
  <c r="G758" i="3"/>
  <c r="G757" i="3"/>
  <c r="G756" i="3"/>
  <c r="G755" i="3"/>
  <c r="G754" i="3"/>
  <c r="G753" i="3"/>
  <c r="G752" i="3"/>
  <c r="G751" i="3"/>
  <c r="G750" i="3"/>
  <c r="G749" i="3"/>
  <c r="G748" i="3"/>
  <c r="G747" i="3"/>
  <c r="G746" i="3"/>
  <c r="G745" i="3"/>
  <c r="G744" i="3"/>
  <c r="G743" i="3"/>
  <c r="G742" i="3"/>
  <c r="G741" i="3"/>
  <c r="G740" i="3"/>
  <c r="G739" i="3"/>
  <c r="G738" i="3"/>
  <c r="G737" i="3"/>
  <c r="G736" i="3"/>
  <c r="G735" i="3"/>
  <c r="G734" i="3"/>
  <c r="G733" i="3"/>
  <c r="G732" i="3"/>
  <c r="G731" i="3"/>
  <c r="G730" i="3"/>
  <c r="G729" i="3"/>
  <c r="G728" i="3"/>
  <c r="G727" i="3"/>
  <c r="G726" i="3"/>
  <c r="G725" i="3"/>
  <c r="G724" i="3"/>
  <c r="G723" i="3"/>
  <c r="G722" i="3"/>
  <c r="G721" i="3"/>
  <c r="G720" i="3"/>
  <c r="G719" i="3"/>
  <c r="G718" i="3"/>
  <c r="G717" i="3"/>
  <c r="G716" i="3"/>
  <c r="G715" i="3"/>
  <c r="G714" i="3"/>
  <c r="G713" i="3"/>
  <c r="G712" i="3"/>
  <c r="G711" i="3"/>
  <c r="G710" i="3"/>
  <c r="G709" i="3"/>
  <c r="G708" i="3"/>
  <c r="G707" i="3"/>
  <c r="G706" i="3"/>
  <c r="G705" i="3"/>
  <c r="G704" i="3"/>
  <c r="G703" i="3"/>
  <c r="G702" i="3"/>
  <c r="G701" i="3"/>
  <c r="G700" i="3"/>
  <c r="G699" i="3"/>
  <c r="G698" i="3"/>
  <c r="G697" i="3"/>
  <c r="G696" i="3"/>
  <c r="G695" i="3"/>
  <c r="G694" i="3"/>
  <c r="G693" i="3"/>
  <c r="G692" i="3"/>
  <c r="G691" i="3"/>
  <c r="G690" i="3"/>
  <c r="G689" i="3"/>
  <c r="G688" i="3"/>
  <c r="G687" i="3"/>
  <c r="G686" i="3"/>
  <c r="G685" i="3"/>
  <c r="G684" i="3"/>
  <c r="G683" i="3"/>
  <c r="G682" i="3"/>
  <c r="G681" i="3"/>
  <c r="G680" i="3"/>
  <c r="G679" i="3"/>
  <c r="G678" i="3"/>
  <c r="G677" i="3"/>
  <c r="G676" i="3"/>
  <c r="G675" i="3"/>
  <c r="G674" i="3"/>
  <c r="G673" i="3"/>
  <c r="G672" i="3"/>
  <c r="G671" i="3"/>
  <c r="G670" i="3"/>
  <c r="G669" i="3"/>
  <c r="G668" i="3"/>
  <c r="G667" i="3"/>
  <c r="G666" i="3"/>
  <c r="G665" i="3"/>
  <c r="G664" i="3"/>
  <c r="G663" i="3"/>
  <c r="G662" i="3"/>
  <c r="G661" i="3"/>
  <c r="G660" i="3"/>
  <c r="G659" i="3"/>
  <c r="G658" i="3"/>
  <c r="G657" i="3"/>
  <c r="G656" i="3"/>
  <c r="G655" i="3"/>
  <c r="G654" i="3"/>
  <c r="G653" i="3"/>
  <c r="G652" i="3"/>
  <c r="G651" i="3"/>
  <c r="G650" i="3"/>
  <c r="G649" i="3"/>
  <c r="G648" i="3"/>
  <c r="G647" i="3"/>
  <c r="G646" i="3"/>
  <c r="G645" i="3"/>
  <c r="G644" i="3"/>
  <c r="G643" i="3"/>
  <c r="G642" i="3"/>
  <c r="G641" i="3"/>
  <c r="G640" i="3"/>
  <c r="G639" i="3"/>
  <c r="G638" i="3"/>
  <c r="G637" i="3"/>
  <c r="G636" i="3"/>
  <c r="G635" i="3"/>
  <c r="G634" i="3"/>
  <c r="G633" i="3"/>
  <c r="G632" i="3"/>
  <c r="G631" i="3"/>
  <c r="G630" i="3"/>
  <c r="G629" i="3"/>
  <c r="G628" i="3"/>
  <c r="G627" i="3"/>
  <c r="G626" i="3"/>
  <c r="G625" i="3"/>
  <c r="G624" i="3"/>
  <c r="G623" i="3"/>
  <c r="G622" i="3"/>
  <c r="G621" i="3"/>
  <c r="G620" i="3"/>
  <c r="G619" i="3"/>
  <c r="G618" i="3"/>
  <c r="G617" i="3"/>
  <c r="G616" i="3"/>
  <c r="G615" i="3"/>
  <c r="G614" i="3"/>
  <c r="G613" i="3"/>
  <c r="G612" i="3"/>
  <c r="G611" i="3"/>
  <c r="G610" i="3"/>
  <c r="G609" i="3"/>
  <c r="G608" i="3"/>
  <c r="G607" i="3"/>
  <c r="G606" i="3"/>
  <c r="G605" i="3"/>
  <c r="G604" i="3"/>
  <c r="G603" i="3"/>
  <c r="G602" i="3"/>
  <c r="G601" i="3"/>
  <c r="G600" i="3"/>
  <c r="G599" i="3"/>
  <c r="G598" i="3"/>
  <c r="G597" i="3"/>
  <c r="G596" i="3"/>
  <c r="G595" i="3"/>
  <c r="G594" i="3"/>
  <c r="G593" i="3"/>
  <c r="G592" i="3"/>
  <c r="G591" i="3"/>
  <c r="G590" i="3"/>
  <c r="G589" i="3"/>
  <c r="G588" i="3"/>
  <c r="G587" i="3"/>
  <c r="G586" i="3"/>
  <c r="G585" i="3"/>
  <c r="G584" i="3"/>
  <c r="G583" i="3"/>
  <c r="G582" i="3"/>
  <c r="G581" i="3"/>
  <c r="G580" i="3"/>
  <c r="G579" i="3"/>
  <c r="G578" i="3"/>
  <c r="G577" i="3"/>
  <c r="G576" i="3"/>
  <c r="G575" i="3"/>
  <c r="G574" i="3"/>
  <c r="G573" i="3"/>
  <c r="G572" i="3"/>
  <c r="G571" i="3"/>
  <c r="G570" i="3"/>
  <c r="G569" i="3"/>
  <c r="G568" i="3"/>
  <c r="G567" i="3"/>
  <c r="G566" i="3"/>
  <c r="G565" i="3"/>
  <c r="G564" i="3"/>
  <c r="G563" i="3"/>
  <c r="G562" i="3"/>
  <c r="G561" i="3"/>
  <c r="G560" i="3"/>
  <c r="G559" i="3"/>
  <c r="G558" i="3"/>
  <c r="G557" i="3"/>
  <c r="G556" i="3"/>
  <c r="G555" i="3"/>
  <c r="G554" i="3"/>
  <c r="G553" i="3"/>
  <c r="G552" i="3"/>
  <c r="G551" i="3"/>
  <c r="G550" i="3"/>
  <c r="G549" i="3"/>
  <c r="G548" i="3"/>
  <c r="G547" i="3"/>
  <c r="G546" i="3"/>
  <c r="G545" i="3"/>
  <c r="G544" i="3"/>
  <c r="G543" i="3"/>
  <c r="G542" i="3"/>
  <c r="G541" i="3"/>
  <c r="G540" i="3"/>
  <c r="G539" i="3"/>
  <c r="G538" i="3"/>
  <c r="G537" i="3"/>
  <c r="G536" i="3"/>
  <c r="G535" i="3"/>
  <c r="G534" i="3"/>
  <c r="G533" i="3"/>
  <c r="G532" i="3"/>
  <c r="G531" i="3"/>
  <c r="G530" i="3"/>
  <c r="G529" i="3"/>
  <c r="G528" i="3"/>
  <c r="G527" i="3"/>
  <c r="G526" i="3"/>
  <c r="G525" i="3"/>
  <c r="G524" i="3"/>
  <c r="G523" i="3"/>
  <c r="G522" i="3"/>
  <c r="G521" i="3"/>
  <c r="G520" i="3"/>
  <c r="G519" i="3"/>
  <c r="G518" i="3"/>
  <c r="G517" i="3"/>
  <c r="G516" i="3"/>
  <c r="G515" i="3"/>
  <c r="G514" i="3"/>
  <c r="G513" i="3"/>
  <c r="G512" i="3"/>
  <c r="G511" i="3"/>
  <c r="G510" i="3"/>
  <c r="G509" i="3"/>
  <c r="G508" i="3"/>
  <c r="G507" i="3"/>
  <c r="G506" i="3"/>
  <c r="G505" i="3"/>
  <c r="G504" i="3"/>
  <c r="G503" i="3"/>
  <c r="G502" i="3"/>
  <c r="G501" i="3"/>
  <c r="G500" i="3"/>
  <c r="G499" i="3"/>
  <c r="G498" i="3"/>
  <c r="G497" i="3"/>
  <c r="G496" i="3"/>
  <c r="G495" i="3"/>
  <c r="G494" i="3"/>
  <c r="G493" i="3"/>
  <c r="G492" i="3"/>
  <c r="G491" i="3"/>
  <c r="G490" i="3"/>
  <c r="G489" i="3"/>
  <c r="G488" i="3"/>
  <c r="G487" i="3"/>
  <c r="G486" i="3"/>
  <c r="G485" i="3"/>
  <c r="G484" i="3"/>
  <c r="G483" i="3"/>
  <c r="G482" i="3"/>
  <c r="G481" i="3"/>
  <c r="G480" i="3"/>
  <c r="G479" i="3"/>
  <c r="G478" i="3"/>
  <c r="G477" i="3"/>
  <c r="G476" i="3"/>
  <c r="G475" i="3"/>
  <c r="G474" i="3"/>
  <c r="G473" i="3"/>
  <c r="G472" i="3"/>
  <c r="G471" i="3"/>
  <c r="G470" i="3"/>
  <c r="G469" i="3"/>
  <c r="G468" i="3"/>
  <c r="G467" i="3"/>
  <c r="G466" i="3"/>
  <c r="G465" i="3"/>
  <c r="G464" i="3"/>
  <c r="G463" i="3"/>
  <c r="G462" i="3"/>
  <c r="G461" i="3"/>
  <c r="G460" i="3"/>
  <c r="G459" i="3"/>
  <c r="G458" i="3"/>
  <c r="G457" i="3"/>
  <c r="G456" i="3"/>
  <c r="G455" i="3"/>
  <c r="G454" i="3"/>
  <c r="G453" i="3"/>
  <c r="G452" i="3"/>
  <c r="G451" i="3"/>
  <c r="G450" i="3"/>
  <c r="G449" i="3"/>
  <c r="G448" i="3"/>
  <c r="G447" i="3"/>
  <c r="G446" i="3"/>
  <c r="G445" i="3"/>
  <c r="G444" i="3"/>
  <c r="G443" i="3"/>
  <c r="G442" i="3"/>
  <c r="G441" i="3"/>
  <c r="G440" i="3"/>
  <c r="G439" i="3"/>
  <c r="G438" i="3"/>
  <c r="G437" i="3"/>
  <c r="G436" i="3"/>
  <c r="G435" i="3"/>
  <c r="G434" i="3"/>
  <c r="G433" i="3"/>
  <c r="G432" i="3"/>
  <c r="G431" i="3"/>
  <c r="G430" i="3"/>
  <c r="G429" i="3"/>
  <c r="G428" i="3"/>
  <c r="G427" i="3"/>
  <c r="G426" i="3"/>
  <c r="G425" i="3"/>
  <c r="G424" i="3"/>
  <c r="G423" i="3"/>
  <c r="G422" i="3"/>
  <c r="G421" i="3"/>
  <c r="G420" i="3"/>
  <c r="G419" i="3"/>
  <c r="G418" i="3"/>
  <c r="G417" i="3"/>
  <c r="G416" i="3"/>
  <c r="G415" i="3"/>
  <c r="G414" i="3"/>
  <c r="G413" i="3"/>
  <c r="G412" i="3"/>
  <c r="G411" i="3"/>
  <c r="G410" i="3"/>
  <c r="G409" i="3"/>
  <c r="G408" i="3"/>
  <c r="G407" i="3"/>
  <c r="G406" i="3"/>
  <c r="G405" i="3"/>
  <c r="G404" i="3"/>
  <c r="G403" i="3"/>
  <c r="G402" i="3"/>
  <c r="G401" i="3"/>
  <c r="G400" i="3"/>
  <c r="G399" i="3"/>
  <c r="G398" i="3"/>
  <c r="G397" i="3"/>
  <c r="G396" i="3"/>
  <c r="G395" i="3"/>
  <c r="G394" i="3"/>
  <c r="G393" i="3"/>
  <c r="G392" i="3"/>
  <c r="G391" i="3"/>
  <c r="G390" i="3"/>
  <c r="G389" i="3"/>
  <c r="G388" i="3"/>
  <c r="G387" i="3"/>
  <c r="G386" i="3"/>
  <c r="G385" i="3"/>
  <c r="G384" i="3"/>
  <c r="G383" i="3"/>
  <c r="G382" i="3"/>
  <c r="G381" i="3"/>
  <c r="G380" i="3"/>
  <c r="G379" i="3"/>
  <c r="G378" i="3"/>
  <c r="G377" i="3"/>
  <c r="G376" i="3"/>
  <c r="G375" i="3"/>
  <c r="G374" i="3"/>
  <c r="G373" i="3"/>
  <c r="G372" i="3"/>
  <c r="G371" i="3"/>
  <c r="G370" i="3"/>
  <c r="G369" i="3"/>
  <c r="G368" i="3"/>
  <c r="G367" i="3"/>
  <c r="G366" i="3"/>
  <c r="G365" i="3"/>
  <c r="G364" i="3"/>
  <c r="G363" i="3"/>
  <c r="G362" i="3"/>
  <c r="G361" i="3"/>
  <c r="G360" i="3"/>
  <c r="G359" i="3"/>
  <c r="G358" i="3"/>
  <c r="G357" i="3"/>
  <c r="G356" i="3"/>
  <c r="G355" i="3"/>
  <c r="G354" i="3"/>
  <c r="G353" i="3"/>
  <c r="G352" i="3"/>
  <c r="G351" i="3"/>
  <c r="G350" i="3"/>
  <c r="G349" i="3"/>
  <c r="G348" i="3"/>
  <c r="G347" i="3"/>
  <c r="G346" i="3"/>
  <c r="G345" i="3"/>
  <c r="G344" i="3"/>
  <c r="G343" i="3"/>
  <c r="G342" i="3"/>
  <c r="G341" i="3"/>
  <c r="G340" i="3"/>
  <c r="G339" i="3"/>
  <c r="G338" i="3"/>
  <c r="G337" i="3"/>
  <c r="G336" i="3"/>
  <c r="G335" i="3"/>
  <c r="G334" i="3"/>
  <c r="G333" i="3"/>
  <c r="G332" i="3"/>
  <c r="G331" i="3"/>
  <c r="G330" i="3"/>
  <c r="G329" i="3"/>
  <c r="G328" i="3"/>
  <c r="G327" i="3"/>
  <c r="G326" i="3"/>
  <c r="G325" i="3"/>
  <c r="G324" i="3"/>
  <c r="G323" i="3"/>
  <c r="G322" i="3"/>
  <c r="G321" i="3"/>
  <c r="G320" i="3"/>
  <c r="G319" i="3"/>
  <c r="G318" i="3"/>
  <c r="G317" i="3"/>
  <c r="G316" i="3"/>
  <c r="G315" i="3"/>
  <c r="G314" i="3"/>
  <c r="G313" i="3"/>
  <c r="G312" i="3"/>
  <c r="G311" i="3"/>
  <c r="G310" i="3"/>
  <c r="G309" i="3"/>
  <c r="G308" i="3"/>
  <c r="G307" i="3"/>
  <c r="G306" i="3"/>
  <c r="G305" i="3"/>
  <c r="G304" i="3"/>
  <c r="G303" i="3"/>
  <c r="G302" i="3"/>
  <c r="G301" i="3"/>
  <c r="G300" i="3"/>
  <c r="G299" i="3"/>
  <c r="G298" i="3"/>
  <c r="G297" i="3"/>
  <c r="G296" i="3"/>
  <c r="G295" i="3"/>
  <c r="G294" i="3"/>
  <c r="G293" i="3"/>
  <c r="G292" i="3"/>
  <c r="G291" i="3"/>
  <c r="G290" i="3"/>
  <c r="G289" i="3"/>
  <c r="G288" i="3"/>
  <c r="G287" i="3"/>
  <c r="G286" i="3"/>
  <c r="G285" i="3"/>
  <c r="G284" i="3"/>
  <c r="G283" i="3"/>
  <c r="G282" i="3"/>
  <c r="G281" i="3"/>
  <c r="G280" i="3"/>
  <c r="G279" i="3"/>
  <c r="G278" i="3"/>
  <c r="G277" i="3"/>
  <c r="G276" i="3"/>
  <c r="G275" i="3"/>
  <c r="G274" i="3"/>
  <c r="G273" i="3"/>
  <c r="G272" i="3"/>
  <c r="G271" i="3"/>
  <c r="G270" i="3"/>
  <c r="G269" i="3"/>
  <c r="G268" i="3"/>
  <c r="G267" i="3"/>
  <c r="G266" i="3"/>
  <c r="G265" i="3"/>
  <c r="G264" i="3"/>
  <c r="G263" i="3"/>
  <c r="G262" i="3"/>
  <c r="G261" i="3"/>
  <c r="G260" i="3"/>
  <c r="G259" i="3"/>
  <c r="G258" i="3"/>
  <c r="G257" i="3"/>
  <c r="G256" i="3"/>
  <c r="G255" i="3"/>
  <c r="G254" i="3"/>
  <c r="G253" i="3"/>
  <c r="G252" i="3"/>
  <c r="G251" i="3"/>
  <c r="G250" i="3"/>
  <c r="G249" i="3"/>
  <c r="G248" i="3"/>
  <c r="G247" i="3"/>
  <c r="G246" i="3"/>
  <c r="G245" i="3"/>
  <c r="G244" i="3"/>
  <c r="G243" i="3"/>
  <c r="G242" i="3"/>
  <c r="G241" i="3"/>
  <c r="G240" i="3"/>
  <c r="G239" i="3"/>
  <c r="G238" i="3"/>
  <c r="G237" i="3"/>
  <c r="G236" i="3"/>
  <c r="G235" i="3"/>
  <c r="G234" i="3"/>
  <c r="G233" i="3"/>
  <c r="G232" i="3"/>
  <c r="G231" i="3"/>
  <c r="G230" i="3"/>
  <c r="G229" i="3"/>
  <c r="G228" i="3"/>
  <c r="G227" i="3"/>
  <c r="G226" i="3"/>
  <c r="G225" i="3"/>
  <c r="G224" i="3"/>
  <c r="G223" i="3"/>
  <c r="G222" i="3"/>
  <c r="G221" i="3"/>
  <c r="G220" i="3"/>
  <c r="G219" i="3"/>
  <c r="G218" i="3"/>
  <c r="G217" i="3"/>
  <c r="G216" i="3"/>
  <c r="G215" i="3"/>
  <c r="G214" i="3"/>
  <c r="G213" i="3"/>
  <c r="G212" i="3"/>
  <c r="G211" i="3"/>
  <c r="G210" i="3"/>
  <c r="G209" i="3"/>
  <c r="G208" i="3"/>
  <c r="G207" i="3"/>
  <c r="G206" i="3"/>
  <c r="G205" i="3"/>
  <c r="G204" i="3"/>
  <c r="G203" i="3"/>
  <c r="G202" i="3"/>
  <c r="G201" i="3"/>
  <c r="G200" i="3"/>
  <c r="G199" i="3"/>
  <c r="G198" i="3"/>
  <c r="G197" i="3"/>
  <c r="G196" i="3"/>
  <c r="G195" i="3"/>
  <c r="G194" i="3"/>
  <c r="G193" i="3"/>
  <c r="G192" i="3"/>
  <c r="G191" i="3"/>
  <c r="G190" i="3"/>
  <c r="G189" i="3"/>
  <c r="G188" i="3"/>
  <c r="G187" i="3"/>
  <c r="G186" i="3"/>
  <c r="G185" i="3"/>
  <c r="G184" i="3"/>
  <c r="G183" i="3"/>
  <c r="G182" i="3"/>
  <c r="G181" i="3"/>
  <c r="G180" i="3"/>
  <c r="G179" i="3"/>
  <c r="G178" i="3"/>
  <c r="G177" i="3"/>
  <c r="G176" i="3"/>
  <c r="G175" i="3"/>
  <c r="G174" i="3"/>
  <c r="G173" i="3"/>
  <c r="G172" i="3"/>
  <c r="G171" i="3"/>
  <c r="G170" i="3"/>
  <c r="G169" i="3"/>
  <c r="G168" i="3"/>
  <c r="G167" i="3"/>
  <c r="G166" i="3"/>
  <c r="G165" i="3"/>
  <c r="G164" i="3"/>
  <c r="G163" i="3"/>
  <c r="G162" i="3"/>
  <c r="G161" i="3"/>
  <c r="CR6" i="2" l="1"/>
  <c r="CQ7" i="2"/>
  <c r="CQ12" i="2" s="1"/>
  <c r="BP29" i="2"/>
  <c r="BP38" i="2"/>
  <c r="BP66" i="2"/>
  <c r="BP65" i="2"/>
  <c r="BP68" i="2"/>
  <c r="BP31" i="2"/>
  <c r="BD27" i="2"/>
  <c r="BD37" i="2"/>
  <c r="BQ27" i="2"/>
  <c r="BQ37" i="2"/>
  <c r="BC27" i="2"/>
  <c r="BC37" i="2"/>
  <c r="CI25" i="2"/>
  <c r="CI37" i="2" s="1"/>
  <c r="CL25" i="2"/>
  <c r="CL37" i="2" s="1"/>
  <c r="BN27" i="2"/>
  <c r="BN37" i="2"/>
  <c r="BM27" i="2"/>
  <c r="BM37" i="2"/>
  <c r="BO38" i="2"/>
  <c r="BO66" i="2"/>
  <c r="BO65" i="2"/>
  <c r="BO31" i="2"/>
  <c r="BO68" i="2"/>
  <c r="BO29" i="2"/>
  <c r="BL27" i="2"/>
  <c r="BL37" i="2"/>
  <c r="BH38" i="2"/>
  <c r="BH66" i="2"/>
  <c r="BH65" i="2"/>
  <c r="BH31" i="2"/>
  <c r="BH29" i="2"/>
  <c r="BH68" i="2"/>
  <c r="BB25" i="2"/>
  <c r="BB36" i="2"/>
  <c r="BF27" i="2"/>
  <c r="BF37" i="2"/>
  <c r="CH23" i="2"/>
  <c r="CH36" i="2" s="1"/>
  <c r="BS27" i="2"/>
  <c r="BS37" i="2"/>
  <c r="AZ27" i="2"/>
  <c r="AZ37" i="2"/>
  <c r="BK27" i="2"/>
  <c r="BK37" i="2"/>
  <c r="CK25" i="2"/>
  <c r="CK37" i="2" s="1"/>
  <c r="BG27" i="2"/>
  <c r="CJ25" i="2"/>
  <c r="CJ37" i="2" s="1"/>
  <c r="BG37" i="2"/>
  <c r="BA27" i="2"/>
  <c r="BA37" i="2"/>
  <c r="BT25" i="2"/>
  <c r="BT36" i="2"/>
  <c r="BE27" i="2"/>
  <c r="BE37" i="2"/>
  <c r="AY27" i="2"/>
  <c r="CH25" i="2"/>
  <c r="CH37" i="2" s="1"/>
  <c r="AY37" i="2"/>
  <c r="BR27" i="2"/>
  <c r="BR37" i="2"/>
  <c r="BJ66" i="2"/>
  <c r="BJ65" i="2"/>
  <c r="BJ38" i="2"/>
  <c r="BJ29" i="2"/>
  <c r="BJ68" i="2"/>
  <c r="BJ31" i="2"/>
  <c r="CI3" i="2"/>
  <c r="CJ3" i="2" s="1"/>
  <c r="CK3" i="2" s="1"/>
  <c r="CL3" i="2" s="1"/>
  <c r="CM3" i="2" s="1"/>
  <c r="CN3" i="2" s="1"/>
  <c r="CO3" i="2" s="1"/>
  <c r="CP3" i="2" s="1"/>
  <c r="CQ3" i="2" s="1"/>
  <c r="CR3" i="2" s="1"/>
  <c r="CS3" i="2" s="1"/>
  <c r="CT3" i="2" s="1"/>
  <c r="CU3" i="2" s="1"/>
  <c r="CV3" i="2" s="1"/>
  <c r="CW3" i="2" s="1"/>
  <c r="CX3" i="2" s="1"/>
  <c r="CY3" i="2" s="1"/>
  <c r="CZ3" i="2" s="1"/>
  <c r="DA3" i="2" s="1"/>
  <c r="DB3" i="2" s="1"/>
  <c r="DC3" i="2" s="1"/>
  <c r="DD3" i="2" s="1"/>
  <c r="DE3" i="2" s="1"/>
  <c r="DF3" i="2" s="1"/>
  <c r="DG3" i="2" s="1"/>
  <c r="DH3" i="2" s="1"/>
  <c r="DI3" i="2" s="1"/>
  <c r="DJ3" i="2" s="1"/>
  <c r="DK3" i="2" s="1"/>
  <c r="DL3" i="2" s="1"/>
  <c r="DM3" i="2" s="1"/>
  <c r="DN3" i="2" s="1"/>
  <c r="DO3" i="2" s="1"/>
  <c r="DP3" i="2" s="1"/>
  <c r="DQ3" i="2" s="1"/>
  <c r="DR3" i="2" s="1"/>
  <c r="DS3" i="2" s="1"/>
  <c r="DT3" i="2" s="1"/>
  <c r="DU3" i="2" s="1"/>
  <c r="DV3" i="2" s="1"/>
  <c r="DW3" i="2" s="1"/>
  <c r="DX3" i="2" s="1"/>
  <c r="DY3" i="2" s="1"/>
  <c r="DZ3" i="2" s="1"/>
  <c r="EA3" i="2" s="1"/>
  <c r="EB3" i="2" s="1"/>
  <c r="EC3" i="2" s="1"/>
  <c r="ED3" i="2" s="1"/>
  <c r="EE3" i="2" s="1"/>
  <c r="EF3" i="2" s="1"/>
  <c r="EG3" i="2" s="1"/>
  <c r="EH3" i="2" s="1"/>
  <c r="EI3" i="2" s="1"/>
  <c r="EJ3" i="2" s="1"/>
  <c r="EK3" i="2" s="1"/>
  <c r="EL3" i="2" s="1"/>
  <c r="EM3" i="2" s="1"/>
  <c r="EN3" i="2" s="1"/>
  <c r="EO3" i="2" s="1"/>
  <c r="EP3" i="2" s="1"/>
  <c r="EQ3" i="2" s="1"/>
  <c r="ER3" i="2" s="1"/>
  <c r="ES3" i="2" s="1"/>
  <c r="ET3" i="2" s="1"/>
  <c r="G160" i="3"/>
  <c r="K177" i="3" s="1"/>
  <c r="C7" i="1"/>
  <c r="C10" i="1" s="1"/>
  <c r="CS6" i="2" l="1"/>
  <c r="CR7" i="2"/>
  <c r="CR12" i="2" s="1"/>
  <c r="BN29" i="2"/>
  <c r="BN38" i="2"/>
  <c r="BN66" i="2"/>
  <c r="BN65" i="2"/>
  <c r="BN68" i="2"/>
  <c r="BN31" i="2"/>
  <c r="BD66" i="2"/>
  <c r="BD65" i="2"/>
  <c r="BD38" i="2"/>
  <c r="BD68" i="2"/>
  <c r="BD31" i="2"/>
  <c r="BD29" i="2"/>
  <c r="BR66" i="2"/>
  <c r="BR65" i="2"/>
  <c r="BR38" i="2"/>
  <c r="BR31" i="2"/>
  <c r="BR29" i="2"/>
  <c r="BR68" i="2"/>
  <c r="CL27" i="2"/>
  <c r="BB27" i="2"/>
  <c r="CH27" i="2" s="1"/>
  <c r="CH38" i="2" s="1"/>
  <c r="BB37" i="2"/>
  <c r="BL29" i="2"/>
  <c r="BL38" i="2"/>
  <c r="BL65" i="2"/>
  <c r="BL66" i="2"/>
  <c r="BL31" i="2"/>
  <c r="BL68" i="2"/>
  <c r="CK27" i="2"/>
  <c r="BK65" i="2"/>
  <c r="BK66" i="2"/>
  <c r="BK38" i="2"/>
  <c r="BK29" i="2"/>
  <c r="BK68" i="2"/>
  <c r="BK31" i="2"/>
  <c r="BG38" i="2"/>
  <c r="CJ27" i="2"/>
  <c r="BG66" i="2"/>
  <c r="BG65" i="2"/>
  <c r="BG29" i="2"/>
  <c r="CJ29" i="2" s="1"/>
  <c r="BG68" i="2"/>
  <c r="CJ68" i="2" s="1"/>
  <c r="BG31" i="2"/>
  <c r="CJ31" i="2" s="1"/>
  <c r="BC68" i="2"/>
  <c r="BC65" i="2"/>
  <c r="BC66" i="2"/>
  <c r="CI27" i="2"/>
  <c r="BC38" i="2"/>
  <c r="BC31" i="2"/>
  <c r="BC29" i="2"/>
  <c r="BT27" i="2"/>
  <c r="BT37" i="2"/>
  <c r="BA38" i="2"/>
  <c r="BA29" i="2"/>
  <c r="BA31" i="2"/>
  <c r="BA68" i="2"/>
  <c r="BE38" i="2"/>
  <c r="BE66" i="2"/>
  <c r="BE65" i="2"/>
  <c r="BE31" i="2"/>
  <c r="BE29" i="2"/>
  <c r="BE68" i="2"/>
  <c r="AZ38" i="2"/>
  <c r="AZ68" i="2"/>
  <c r="AZ31" i="2"/>
  <c r="AZ29" i="2"/>
  <c r="AY38" i="2"/>
  <c r="AY68" i="2"/>
  <c r="AY31" i="2"/>
  <c r="AY29" i="2"/>
  <c r="BS65" i="2"/>
  <c r="BS66" i="2"/>
  <c r="BS38" i="2"/>
  <c r="BS68" i="2"/>
  <c r="BS29" i="2"/>
  <c r="BS31" i="2"/>
  <c r="BF38" i="2"/>
  <c r="BF65" i="2"/>
  <c r="BF66" i="2"/>
  <c r="BF68" i="2"/>
  <c r="BF29" i="2"/>
  <c r="BF31" i="2"/>
  <c r="BM38" i="2"/>
  <c r="BM66" i="2"/>
  <c r="BM65" i="2"/>
  <c r="BM68" i="2"/>
  <c r="BM31" i="2"/>
  <c r="BM29" i="2"/>
  <c r="BQ38" i="2"/>
  <c r="BQ66" i="2"/>
  <c r="BQ65" i="2"/>
  <c r="BQ29" i="2"/>
  <c r="BQ68" i="2"/>
  <c r="CL68" i="2" s="1"/>
  <c r="BQ31" i="2"/>
  <c r="CL31" i="2" s="1"/>
  <c r="K181" i="3"/>
  <c r="K182" i="3" s="1"/>
  <c r="K180" i="3"/>
  <c r="K179" i="3"/>
  <c r="K178" i="3"/>
  <c r="CT6" i="2" l="1"/>
  <c r="CS7" i="2"/>
  <c r="CS12" i="2" s="1"/>
  <c r="CI68" i="2"/>
  <c r="CL29" i="2"/>
  <c r="CK29" i="2"/>
  <c r="M192" i="3"/>
  <c r="M190" i="3"/>
  <c r="M191" i="3"/>
  <c r="M202" i="3"/>
  <c r="M189" i="3"/>
  <c r="M227" i="3"/>
  <c r="M203" i="3"/>
  <c r="M294" i="3"/>
  <c r="M277" i="3"/>
  <c r="M213" i="3"/>
  <c r="M246" i="3"/>
  <c r="M252" i="3"/>
  <c r="M291" i="3"/>
  <c r="M234" i="3"/>
  <c r="M265" i="3"/>
  <c r="M193" i="3"/>
  <c r="M200" i="3"/>
  <c r="M207" i="3"/>
  <c r="M282" i="3"/>
  <c r="M251" i="3"/>
  <c r="M241" i="3"/>
  <c r="M256" i="3"/>
  <c r="M237" i="3"/>
  <c r="M276" i="3"/>
  <c r="M232" i="3"/>
  <c r="M243" i="3"/>
  <c r="M204" i="3"/>
  <c r="M223" i="3"/>
  <c r="M262" i="3"/>
  <c r="M273" i="3"/>
  <c r="M219" i="3"/>
  <c r="M235" i="3"/>
  <c r="M270" i="3"/>
  <c r="M269" i="3"/>
  <c r="M205" i="3"/>
  <c r="M230" i="3"/>
  <c r="M244" i="3"/>
  <c r="M290" i="3"/>
  <c r="M226" i="3"/>
  <c r="M257" i="3"/>
  <c r="M283" i="3"/>
  <c r="M267" i="3"/>
  <c r="M199" i="3"/>
  <c r="M218" i="3"/>
  <c r="M259" i="3"/>
  <c r="M275" i="3"/>
  <c r="M280" i="3"/>
  <c r="M206" i="3"/>
  <c r="M289" i="3"/>
  <c r="M263" i="3"/>
  <c r="M250" i="3"/>
  <c r="M239" i="3"/>
  <c r="M196" i="3"/>
  <c r="M222" i="3"/>
  <c r="M211" i="3"/>
  <c r="M254" i="3"/>
  <c r="M261" i="3"/>
  <c r="M197" i="3"/>
  <c r="M198" i="3"/>
  <c r="M236" i="3"/>
  <c r="M249" i="3"/>
  <c r="M295" i="3"/>
  <c r="M225" i="3"/>
  <c r="M286" i="3"/>
  <c r="M224" i="3"/>
  <c r="M195" i="3"/>
  <c r="M209" i="3"/>
  <c r="M208" i="3"/>
  <c r="M238" i="3"/>
  <c r="M253" i="3"/>
  <c r="M248" i="3"/>
  <c r="M292" i="3"/>
  <c r="M228" i="3"/>
  <c r="M274" i="3"/>
  <c r="M210" i="3"/>
  <c r="M264" i="3"/>
  <c r="M231" i="3"/>
  <c r="M212" i="3"/>
  <c r="M247" i="3"/>
  <c r="M293" i="3"/>
  <c r="M217" i="3"/>
  <c r="M221" i="3"/>
  <c r="M260" i="3"/>
  <c r="M216" i="3"/>
  <c r="M201" i="3"/>
  <c r="M288" i="3"/>
  <c r="M214" i="3"/>
  <c r="M245" i="3"/>
  <c r="M279" i="3"/>
  <c r="M284" i="3"/>
  <c r="M220" i="3"/>
  <c r="M266" i="3"/>
  <c r="M194" i="3"/>
  <c r="M233" i="3"/>
  <c r="M240" i="3"/>
  <c r="M271" i="3"/>
  <c r="M287" i="3"/>
  <c r="M272" i="3"/>
  <c r="M258" i="3"/>
  <c r="M255" i="3"/>
  <c r="M229" i="3"/>
  <c r="M281" i="3"/>
  <c r="M278" i="3"/>
  <c r="M285" i="3"/>
  <c r="M242" i="3"/>
  <c r="M215" i="3"/>
  <c r="M268" i="3"/>
  <c r="CI29" i="2"/>
  <c r="BT29" i="2"/>
  <c r="BT38" i="2"/>
  <c r="BT66" i="2"/>
  <c r="BT65" i="2"/>
  <c r="BT31" i="2"/>
  <c r="BT68" i="2"/>
  <c r="CK66" i="2"/>
  <c r="CK65" i="2"/>
  <c r="CK38" i="2"/>
  <c r="BB38" i="2"/>
  <c r="BB29" i="2"/>
  <c r="CH29" i="2" s="1"/>
  <c r="BB68" i="2"/>
  <c r="CH68" i="2" s="1"/>
  <c r="BB31" i="2"/>
  <c r="CH31" i="2" s="1"/>
  <c r="CI38" i="2"/>
  <c r="CI66" i="2"/>
  <c r="CI65" i="2"/>
  <c r="CL38" i="2"/>
  <c r="CL66" i="2"/>
  <c r="CL65" i="2"/>
  <c r="CK31" i="2"/>
  <c r="CI31" i="2"/>
  <c r="CJ66" i="2"/>
  <c r="CJ65" i="2"/>
  <c r="CJ38" i="2"/>
  <c r="CK68" i="2"/>
  <c r="P200" i="3"/>
  <c r="P190" i="3"/>
  <c r="P189" i="3"/>
  <c r="P192" i="3"/>
  <c r="P199" i="3"/>
  <c r="P191" i="3"/>
  <c r="P202" i="3"/>
  <c r="P198" i="3"/>
  <c r="P194" i="3"/>
  <c r="P197" i="3"/>
  <c r="P201" i="3"/>
  <c r="P196" i="3"/>
  <c r="P193" i="3"/>
  <c r="P195" i="3"/>
  <c r="CU6" i="2" l="1"/>
  <c r="CT7" i="2"/>
  <c r="CT12" i="2" s="1"/>
  <c r="CV6" i="2" l="1"/>
  <c r="CV7" i="2" s="1"/>
  <c r="CU7" i="2"/>
  <c r="CU12" i="2" s="1"/>
  <c r="CV12" i="2" l="1"/>
  <c r="CN18" i="2" l="1"/>
  <c r="CN22" i="2" s="1"/>
  <c r="CM12" i="2"/>
  <c r="CM18" i="2"/>
  <c r="CM20" i="2" s="1"/>
  <c r="CM21" i="2" l="1"/>
  <c r="CM22" i="2"/>
  <c r="CP18" i="2"/>
  <c r="CM19" i="2"/>
  <c r="CN19" i="2"/>
  <c r="CO18" i="2"/>
  <c r="CN20" i="2"/>
  <c r="CN21" i="2"/>
  <c r="CM23" i="2" l="1"/>
  <c r="CN44" i="2"/>
  <c r="CN45" i="2" s="1"/>
  <c r="CM36" i="2"/>
  <c r="CM25" i="2"/>
  <c r="CM26" i="2" s="1"/>
  <c r="CM27" i="2" s="1"/>
  <c r="CN23" i="2"/>
  <c r="CN36" i="2" s="1"/>
  <c r="CO19" i="2"/>
  <c r="CO22" i="2"/>
  <c r="CO21" i="2"/>
  <c r="CO20" i="2"/>
  <c r="CP21" i="2"/>
  <c r="CP20" i="2"/>
  <c r="CP22" i="2"/>
  <c r="CP19" i="2"/>
  <c r="CQ18" i="2"/>
  <c r="CO23" i="2" l="1"/>
  <c r="CO36" i="2" s="1"/>
  <c r="CM40" i="2"/>
  <c r="CM38" i="2"/>
  <c r="CP23" i="2"/>
  <c r="CQ19" i="2"/>
  <c r="CQ20" i="2"/>
  <c r="CQ22" i="2"/>
  <c r="CQ21" i="2"/>
  <c r="CR18" i="2"/>
  <c r="CQ23" i="2" l="1"/>
  <c r="CQ36" i="2" s="1"/>
  <c r="CS18" i="2"/>
  <c r="CP36" i="2"/>
  <c r="CR19" i="2"/>
  <c r="CR21" i="2"/>
  <c r="CR20" i="2"/>
  <c r="CR22" i="2"/>
  <c r="CN24" i="2"/>
  <c r="CN25" i="2" s="1"/>
  <c r="CR23" i="2" l="1"/>
  <c r="CR36" i="2" s="1"/>
  <c r="CS21" i="2"/>
  <c r="CS19" i="2"/>
  <c r="CS20" i="2"/>
  <c r="CS22" i="2"/>
  <c r="CN26" i="2"/>
  <c r="CN27" i="2" s="1"/>
  <c r="CT18" i="2"/>
  <c r="CN38" i="2" l="1"/>
  <c r="CN40" i="2"/>
  <c r="CS23" i="2"/>
  <c r="CT21" i="2"/>
  <c r="CT22" i="2"/>
  <c r="CT19" i="2"/>
  <c r="CT20" i="2"/>
  <c r="CV18" i="2"/>
  <c r="CU18" i="2"/>
  <c r="CT23" i="2" l="1"/>
  <c r="CT36" i="2" s="1"/>
  <c r="CS36" i="2"/>
  <c r="CO24" i="2"/>
  <c r="CO25" i="2" s="1"/>
  <c r="CU19" i="2"/>
  <c r="CU22" i="2"/>
  <c r="CU21" i="2"/>
  <c r="CU20" i="2"/>
  <c r="CV20" i="2"/>
  <c r="CV22" i="2"/>
  <c r="CV21" i="2"/>
  <c r="CV19" i="2"/>
  <c r="CO26" i="2" l="1"/>
  <c r="CO27" i="2" s="1"/>
  <c r="CV23" i="2"/>
  <c r="CU23" i="2"/>
  <c r="CO38" i="2" l="1"/>
  <c r="CO40" i="2"/>
  <c r="CU36" i="2"/>
  <c r="CV36" i="2"/>
  <c r="CP24" i="2" l="1"/>
  <c r="CP25" i="2" s="1"/>
  <c r="CP26" i="2" l="1"/>
  <c r="CP27" i="2" s="1"/>
  <c r="CP38" i="2" l="1"/>
  <c r="CP40" i="2"/>
  <c r="CQ24" i="2" l="1"/>
  <c r="CQ25" i="2" s="1"/>
  <c r="CQ26" i="2" l="1"/>
  <c r="CQ27" i="2" s="1"/>
  <c r="CQ38" i="2" l="1"/>
  <c r="CQ40" i="2"/>
  <c r="CR24" i="2" l="1"/>
  <c r="CR25" i="2" s="1"/>
  <c r="CR26" i="2" l="1"/>
  <c r="CR27" i="2" s="1"/>
  <c r="CR38" i="2" l="1"/>
  <c r="CR40" i="2"/>
  <c r="CS24" i="2" l="1"/>
  <c r="CS25" i="2" s="1"/>
  <c r="CS26" i="2" l="1"/>
  <c r="CS27" i="2" s="1"/>
  <c r="CS38" i="2" l="1"/>
  <c r="CS40" i="2"/>
  <c r="CT24" i="2" l="1"/>
  <c r="CT25" i="2" s="1"/>
  <c r="CT26" i="2" l="1"/>
  <c r="CT27" i="2" s="1"/>
  <c r="CT38" i="2" l="1"/>
  <c r="CT40" i="2"/>
  <c r="CU24" i="2" l="1"/>
  <c r="CU25" i="2" s="1"/>
  <c r="CU26" i="2" l="1"/>
  <c r="CU27" i="2" s="1"/>
  <c r="CU38" i="2" l="1"/>
  <c r="CU40" i="2"/>
  <c r="CV24" i="2" l="1"/>
  <c r="CV25" i="2" s="1"/>
  <c r="CV26" i="2" l="1"/>
  <c r="CV27" i="2" s="1"/>
  <c r="CV38" i="2" l="1"/>
  <c r="CW27" i="2"/>
  <c r="CX27" i="2" s="1"/>
  <c r="CY27" i="2" s="1"/>
  <c r="CZ27" i="2" s="1"/>
  <c r="DA27" i="2" s="1"/>
  <c r="DB27" i="2" s="1"/>
  <c r="DC27" i="2" s="1"/>
  <c r="DD27" i="2" s="1"/>
  <c r="DE27" i="2" s="1"/>
  <c r="DF27" i="2" s="1"/>
  <c r="DG27" i="2" s="1"/>
  <c r="DH27" i="2" s="1"/>
  <c r="DI27" i="2" s="1"/>
  <c r="DJ27" i="2" s="1"/>
  <c r="DK27" i="2" s="1"/>
  <c r="DL27" i="2" s="1"/>
  <c r="DM27" i="2" s="1"/>
  <c r="DN27" i="2" s="1"/>
  <c r="DO27" i="2" s="1"/>
  <c r="DP27" i="2" s="1"/>
  <c r="DQ27" i="2" s="1"/>
  <c r="DR27" i="2" s="1"/>
  <c r="DS27" i="2" s="1"/>
  <c r="DT27" i="2" s="1"/>
  <c r="DU27" i="2" s="1"/>
  <c r="DV27" i="2" s="1"/>
  <c r="DW27" i="2" s="1"/>
  <c r="DX27" i="2" s="1"/>
  <c r="DY27" i="2" s="1"/>
  <c r="DZ27" i="2" s="1"/>
  <c r="EA27" i="2" s="1"/>
  <c r="EB27" i="2" s="1"/>
  <c r="EC27" i="2" s="1"/>
  <c r="ED27" i="2" s="1"/>
  <c r="EE27" i="2" s="1"/>
  <c r="EF27" i="2" s="1"/>
  <c r="EG27" i="2" s="1"/>
  <c r="EH27" i="2" s="1"/>
  <c r="EI27" i="2" s="1"/>
  <c r="EJ27" i="2" s="1"/>
  <c r="EK27" i="2" s="1"/>
  <c r="EL27" i="2" s="1"/>
  <c r="EM27" i="2" s="1"/>
  <c r="EN27" i="2" s="1"/>
  <c r="EO27" i="2" s="1"/>
  <c r="EP27" i="2" s="1"/>
  <c r="EQ27" i="2" s="1"/>
  <c r="ER27" i="2" s="1"/>
  <c r="ES27" i="2" s="1"/>
  <c r="ET27" i="2" s="1"/>
  <c r="CV49" i="2" s="1"/>
  <c r="CV51" i="2" s="1"/>
  <c r="CV40" i="2"/>
  <c r="CV53" i="2" l="1"/>
  <c r="CW53" i="2" s="1"/>
  <c r="CU54" i="2" l="1" a="1"/>
  <c r="CU54" i="2"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<sst xmlns="http://schemas.openxmlformats.org/spreadsheetml/2006/main" count="1556" uniqueCount="1519">
  <si>
    <t xml:space="preserve">Price </t>
  </si>
  <si>
    <t>SO</t>
  </si>
  <si>
    <t>MC</t>
  </si>
  <si>
    <t>Cash</t>
  </si>
  <si>
    <t>Debt</t>
  </si>
  <si>
    <t>EV</t>
  </si>
  <si>
    <t>Investor Relations Contact:</t>
  </si>
  <si>
    <t>SEC filings</t>
  </si>
  <si>
    <t>Godel Terminal</t>
  </si>
  <si>
    <t>Company Overview:</t>
  </si>
  <si>
    <t>[Bold Title]</t>
  </si>
  <si>
    <t>Line Titles</t>
  </si>
  <si>
    <t>&lt;-- General</t>
  </si>
  <si>
    <t>&lt;-- Info</t>
  </si>
  <si>
    <t>Institutional Ownership Snapshot (4/14/2025)</t>
  </si>
  <si>
    <t>Notes:</t>
  </si>
  <si>
    <t>[X]</t>
  </si>
  <si>
    <t>[Y]</t>
  </si>
  <si>
    <t>[Z]</t>
  </si>
  <si>
    <t>Total Revenues, Net Income, FCF</t>
  </si>
  <si>
    <t>Close</t>
  </si>
  <si>
    <t>High</t>
  </si>
  <si>
    <t>Low</t>
  </si>
  <si>
    <t>Open</t>
  </si>
  <si>
    <t>Volume</t>
  </si>
  <si>
    <t>UTC Date</t>
  </si>
  <si>
    <t>Change</t>
  </si>
  <si>
    <t>Min</t>
  </si>
  <si>
    <t>Max</t>
  </si>
  <si>
    <t>Mean μ</t>
  </si>
  <si>
    <t>Median</t>
  </si>
  <si>
    <t>SD σ</t>
  </si>
  <si>
    <t xml:space="preserve">  3σ 1-Day Δ: ±</t>
  </si>
  <si>
    <t>β (1-year avg.)</t>
  </si>
  <si>
    <t>&lt;- Sortino Ratio (Downside Risk Adjusted Return)</t>
  </si>
  <si>
    <r>
      <rPr>
        <i/>
        <sz val="11"/>
        <color theme="1"/>
        <rFont val="Calibre"/>
      </rPr>
      <t>n</t>
    </r>
    <r>
      <rPr>
        <sz val="11"/>
        <color theme="1"/>
        <rFont val="Calibre"/>
      </rPr>
      <t xml:space="preserve"> =</t>
    </r>
  </si>
  <si>
    <t>Histogram Data</t>
  </si>
  <si>
    <t>Distribution Overlay</t>
  </si>
  <si>
    <t>SD Lines</t>
  </si>
  <si>
    <t>Bin</t>
  </si>
  <si>
    <t>Frequency</t>
  </si>
  <si>
    <r>
      <t xml:space="preserve"> (X) 1-Day</t>
    </r>
    <r>
      <rPr>
        <b/>
        <i/>
        <sz val="11"/>
        <color theme="1"/>
        <rFont val="Calibri"/>
        <family val="2"/>
        <scheme val="minor"/>
      </rPr>
      <t xml:space="preserve"> Δ </t>
    </r>
    <r>
      <rPr>
        <i/>
        <sz val="11"/>
        <color theme="1"/>
        <rFont val="Calibri"/>
        <family val="2"/>
        <scheme val="minor"/>
      </rPr>
      <t xml:space="preserve"> </t>
    </r>
  </si>
  <si>
    <t xml:space="preserve">(Y) Pop. Density </t>
  </si>
  <si>
    <t>X</t>
  </si>
  <si>
    <t>Y</t>
  </si>
  <si>
    <t>Q2 2008</t>
  </si>
  <si>
    <t>Q3 2008</t>
  </si>
  <si>
    <t>Q1 2009</t>
  </si>
  <si>
    <t>Q2 2009</t>
  </si>
  <si>
    <t>Q3 2009</t>
  </si>
  <si>
    <t>Q4 2009</t>
  </si>
  <si>
    <t>Q1 2010</t>
  </si>
  <si>
    <t>Q2 2010</t>
  </si>
  <si>
    <t>Q3 2010</t>
  </si>
  <si>
    <t>Q4 2010</t>
  </si>
  <si>
    <t>Q1 2011</t>
  </si>
  <si>
    <t>Q2 2011</t>
  </si>
  <si>
    <t>Q3 2011</t>
  </si>
  <si>
    <t>Q4 2011</t>
  </si>
  <si>
    <t>Q1 2012</t>
  </si>
  <si>
    <t>Q2 2012</t>
  </si>
  <si>
    <t>Q3 2012</t>
  </si>
  <si>
    <t>Q4 2012</t>
  </si>
  <si>
    <t>Q1 2013</t>
  </si>
  <si>
    <t>Q2 2013</t>
  </si>
  <si>
    <t>Q3 2013</t>
  </si>
  <si>
    <t>Q4 2013</t>
  </si>
  <si>
    <t>Q1 2014</t>
  </si>
  <si>
    <t>Q2 2014</t>
  </si>
  <si>
    <t>Q3 2014</t>
  </si>
  <si>
    <t>Q4 2014</t>
  </si>
  <si>
    <t>Q1 2015</t>
  </si>
  <si>
    <t>Q2 2015</t>
  </si>
  <si>
    <t>Q3 2015</t>
  </si>
  <si>
    <t>Q4 2015</t>
  </si>
  <si>
    <t>Q1 2016</t>
  </si>
  <si>
    <t>Q2 2016</t>
  </si>
  <si>
    <t>Q3 2016</t>
  </si>
  <si>
    <t>Q4 2016</t>
  </si>
  <si>
    <t>Q1 2017</t>
  </si>
  <si>
    <t>Q2 2017</t>
  </si>
  <si>
    <t>Q3 2017</t>
  </si>
  <si>
    <t>Q4 2017</t>
  </si>
  <si>
    <t>Q1 2018</t>
  </si>
  <si>
    <t>Q2 2018</t>
  </si>
  <si>
    <t>Q3 2018</t>
  </si>
  <si>
    <t>Q4 2018</t>
  </si>
  <si>
    <t>Q1 2019</t>
  </si>
  <si>
    <t>Q2 2019</t>
  </si>
  <si>
    <t>Q3 2019</t>
  </si>
  <si>
    <t>Q4 2019</t>
  </si>
  <si>
    <t>Q1 2020</t>
  </si>
  <si>
    <t>Q2 2020</t>
  </si>
  <si>
    <t>Q3 2020</t>
  </si>
  <si>
    <t>Q4 2020</t>
  </si>
  <si>
    <t>Q1 2021</t>
  </si>
  <si>
    <t>Q2 2021</t>
  </si>
  <si>
    <t>Q3 2021</t>
  </si>
  <si>
    <t>Q4 2021</t>
  </si>
  <si>
    <t>Q1 2022</t>
  </si>
  <si>
    <t>Q2 2022</t>
  </si>
  <si>
    <t>Q3 2022</t>
  </si>
  <si>
    <t>Q4 2022</t>
  </si>
  <si>
    <t>Q1 2023</t>
  </si>
  <si>
    <t>Q2 2023</t>
  </si>
  <si>
    <t>Q3 2023</t>
  </si>
  <si>
    <t>Q4 2023</t>
  </si>
  <si>
    <t>Q1 2024</t>
  </si>
  <si>
    <t>Q2 2024</t>
  </si>
  <si>
    <t>Q3 2024</t>
  </si>
  <si>
    <t>Q4 2024</t>
  </si>
  <si>
    <t>Q1 2025</t>
  </si>
  <si>
    <t>Q2 2025</t>
  </si>
  <si>
    <t>Q3 2025</t>
  </si>
  <si>
    <t>Q4 2025</t>
  </si>
  <si>
    <t>Q1 2026</t>
  </si>
  <si>
    <t>Q2 2026</t>
  </si>
  <si>
    <t>Q3 2026</t>
  </si>
  <si>
    <t>Q4 2026</t>
  </si>
  <si>
    <t>[Use for Graphing]</t>
  </si>
  <si>
    <t>Quarterly</t>
  </si>
  <si>
    <t>Revenues</t>
  </si>
  <si>
    <t>Ttl Revenues</t>
  </si>
  <si>
    <t>Q1 2008</t>
  </si>
  <si>
    <t>Q4 2008</t>
  </si>
  <si>
    <t>GP</t>
  </si>
  <si>
    <t>Gross Profit Margin</t>
  </si>
  <si>
    <t>R&amp;D as % of Revenue</t>
  </si>
  <si>
    <t>SG&amp;A as % of Revenue</t>
  </si>
  <si>
    <t>Operating Profit Margin</t>
  </si>
  <si>
    <t>Effective Tax Rate</t>
  </si>
  <si>
    <t>Net Profit Margin</t>
  </si>
  <si>
    <t xml:space="preserve">Cash &amp; CEs </t>
  </si>
  <si>
    <t>ST Investments</t>
  </si>
  <si>
    <t>Current Ratio</t>
  </si>
  <si>
    <t>Quick Ratio</t>
  </si>
  <si>
    <t>Cash Ratio</t>
  </si>
  <si>
    <t>Ttl Asset Turnover</t>
  </si>
  <si>
    <t>Inventory Turnover Ratio</t>
  </si>
  <si>
    <t>Return on Assets</t>
  </si>
  <si>
    <t>Return on Equity</t>
  </si>
  <si>
    <t>Net Income</t>
  </si>
  <si>
    <t>CFFO</t>
  </si>
  <si>
    <t>CapEx, net</t>
  </si>
  <si>
    <t>FCF</t>
  </si>
  <si>
    <t>SC</t>
  </si>
  <si>
    <t>FCF per Share</t>
  </si>
  <si>
    <t>Revenues:</t>
  </si>
  <si>
    <t>Earnings Scope:</t>
  </si>
  <si>
    <t>Balance Sheet Scope:</t>
  </si>
  <si>
    <t>[Equity Preformance Compared to Peers]</t>
  </si>
  <si>
    <t>Mean</t>
  </si>
  <si>
    <t>-3σ</t>
  </si>
  <si>
    <t>-2σ</t>
  </si>
  <si>
    <t>-1σ</t>
  </si>
  <si>
    <t>1σ</t>
  </si>
  <si>
    <t>2σ</t>
  </si>
  <si>
    <t>3σ</t>
  </si>
  <si>
    <t xml:space="preserve">Email: </t>
  </si>
  <si>
    <t>&lt;- Sharpe Ratio (Risk Adjusted Return)</t>
  </si>
  <si>
    <t>https://www.sec.gov/edgar/browse/?CIK=310764&amp;owner=exclude</t>
  </si>
  <si>
    <t>Earnings Calls</t>
  </si>
  <si>
    <t>Equity Analysis</t>
  </si>
  <si>
    <t>https://app.godelterminal.com/</t>
  </si>
  <si>
    <t>Investors Relation Department</t>
  </si>
  <si>
    <t>Business Segments and Geographical Info:</t>
  </si>
  <si>
    <t>Employee Scope:</t>
  </si>
  <si>
    <t>Resources:</t>
  </si>
  <si>
    <t>Capital Structure Snapshot:</t>
  </si>
  <si>
    <t>ISRG</t>
  </si>
  <si>
    <t>Address: 1020 Kifer Road, Sunnyvale, California 94086</t>
  </si>
  <si>
    <t>Registered Exchange: NASDAQ</t>
  </si>
  <si>
    <t>Intuitive Surgical, Inc. (ISRG)</t>
  </si>
  <si>
    <t>Industry: Medical Instruments &amp; Supplies</t>
  </si>
  <si>
    <t>Sector: Healthcare</t>
  </si>
  <si>
    <t>Founded: 1995</t>
  </si>
  <si>
    <t>https://www.intuitive.com/en-us</t>
  </si>
  <si>
    <t>Intuitive Homepage</t>
  </si>
  <si>
    <t>https://isrg.intuitive.com/</t>
  </si>
  <si>
    <t>Intuitive IR Page</t>
  </si>
  <si>
    <t>https://seekingalpha.com/symbol/ISRG/earnings/transcripts</t>
  </si>
  <si>
    <t>https://stockanalysis.com/stocks/isrg/company/</t>
  </si>
  <si>
    <t>Phone: (408) 523-2161</t>
  </si>
  <si>
    <t>investor.relations@intusurg.com</t>
  </si>
  <si>
    <t>IPO: June 13, 2000 -- ~$116M valuation</t>
  </si>
  <si>
    <t>Employees: 15,638 (Q4'24)</t>
  </si>
  <si>
    <t>Headquarters: Sunnyvale, CA</t>
  </si>
  <si>
    <t>Intuitive Surgical, Inc. develops, manufactures, and markets products that enable physicians and healthcare providers to enhance the quality of and access to minimally invasive care in the United States and internationally</t>
  </si>
  <si>
    <t>It also provides a suite of stapling, energy, and core instrumentation for its multi-port da Vinci surgical systems; progressive learning pathways to support the use of its technology</t>
  </si>
  <si>
    <t>Infrastructure of service and support specialists, a complement of services to its customers</t>
  </si>
  <si>
    <t>Wed, 11 Jun 2025 00:00:00 GMT</t>
  </si>
  <si>
    <t>Tue, 10 Jun 2025 00:00:00 GMT</t>
  </si>
  <si>
    <t>Mon, 09 Jun 2025 00:00:00 GMT</t>
  </si>
  <si>
    <t>Fri, 06 Jun 2025 00:00:00 GMT</t>
  </si>
  <si>
    <t>Thu, 05 Jun 2025 00:00:00 GMT</t>
  </si>
  <si>
    <t>Wed, 04 Jun 2025 00:00:00 GMT</t>
  </si>
  <si>
    <t>Tue, 03 Jun 2025 00:00:00 GMT</t>
  </si>
  <si>
    <t>Mon, 02 Jun 2025 00:00:00 GMT</t>
  </si>
  <si>
    <t>Fri, 30 May 2025 00:00:00 GMT</t>
  </si>
  <si>
    <t>Thu, 29 May 2025 00:00:00 GMT</t>
  </si>
  <si>
    <t>Wed, 28 May 2025 00:00:00 GMT</t>
  </si>
  <si>
    <t>Tue, 27 May 2025 00:00:00 GMT</t>
  </si>
  <si>
    <t>Fri, 23 May 2025 00:00:00 GMT</t>
  </si>
  <si>
    <t>Thu, 22 May 2025 00:00:00 GMT</t>
  </si>
  <si>
    <t>Wed, 21 May 2025 00:00:00 GMT</t>
  </si>
  <si>
    <t>Tue, 20 May 2025 00:00:00 GMT</t>
  </si>
  <si>
    <t>Mon, 19 May 2025 00:00:00 GMT</t>
  </si>
  <si>
    <t>Fri, 16 May 2025 00:00:00 GMT</t>
  </si>
  <si>
    <t>Thu, 15 May 2025 00:00:00 GMT</t>
  </si>
  <si>
    <t>Wed, 14 May 2025 00:00:00 GMT</t>
  </si>
  <si>
    <t>Tue, 13 May 2025 00:00:00 GMT</t>
  </si>
  <si>
    <t>Mon, 12 May 2025 00:00:00 GMT</t>
  </si>
  <si>
    <t>Fri, 09 May 2025 00:00:00 GMT</t>
  </si>
  <si>
    <t>Thu, 08 May 2025 00:00:00 GMT</t>
  </si>
  <si>
    <t>Wed, 07 May 2025 00:00:00 GMT</t>
  </si>
  <si>
    <t>Tue, 06 May 2025 00:00:00 GMT</t>
  </si>
  <si>
    <t>Mon, 05 May 2025 00:00:00 GMT</t>
  </si>
  <si>
    <t>Fri, 02 May 2025 00:00:00 GMT</t>
  </si>
  <si>
    <t>Thu, 01 May 2025 00:00:00 GMT</t>
  </si>
  <si>
    <t>Wed, 30 Apr 2025 00:00:00 GMT</t>
  </si>
  <si>
    <t>Tue, 29 Apr 2025 00:00:00 GMT</t>
  </si>
  <si>
    <t>Mon, 28 Apr 2025 00:00:00 GMT</t>
  </si>
  <si>
    <t>Fri, 25 Apr 2025 00:00:00 GMT</t>
  </si>
  <si>
    <t>Thu, 24 Apr 2025 00:00:00 GMT</t>
  </si>
  <si>
    <t>Wed, 23 Apr 2025 00:00:00 GMT</t>
  </si>
  <si>
    <t>Tue, 22 Apr 2025 00:00:00 GMT</t>
  </si>
  <si>
    <t>Mon, 21 Apr 2025 00:00:00 GMT</t>
  </si>
  <si>
    <t>Thu, 17 Apr 2025 00:00:00 GMT</t>
  </si>
  <si>
    <t>Wed, 16 Apr 2025 00:00:00 GMT</t>
  </si>
  <si>
    <t>Tue, 15 Apr 2025 00:00:00 GMT</t>
  </si>
  <si>
    <t>Mon, 14 Apr 2025 00:00:00 GMT</t>
  </si>
  <si>
    <t>Fri, 11 Apr 2025 00:00:00 GMT</t>
  </si>
  <si>
    <t>Thu, 10 Apr 2025 00:00:00 GMT</t>
  </si>
  <si>
    <t>Wed, 09 Apr 2025 00:00:00 GMT</t>
  </si>
  <si>
    <t>Tue, 08 Apr 2025 00:00:00 GMT</t>
  </si>
  <si>
    <t>Mon, 07 Apr 2025 00:00:00 GMT</t>
  </si>
  <si>
    <t>Fri, 04 Apr 2025 00:00:00 GMT</t>
  </si>
  <si>
    <t>Thu, 03 Apr 2025 00:00:00 GMT</t>
  </si>
  <si>
    <t>Wed, 02 Apr 2025 00:00:00 GMT</t>
  </si>
  <si>
    <t>Tue, 01 Apr 2025 00:00:00 GMT</t>
  </si>
  <si>
    <t>Mon, 31 Mar 2025 00:00:00 GMT</t>
  </si>
  <si>
    <t>Fri, 28 Mar 2025 00:00:00 GMT</t>
  </si>
  <si>
    <t>Thu, 27 Mar 2025 00:00:00 GMT</t>
  </si>
  <si>
    <t>Wed, 26 Mar 2025 00:00:00 GMT</t>
  </si>
  <si>
    <t>Tue, 25 Mar 2025 00:00:00 GMT</t>
  </si>
  <si>
    <t>Mon, 24 Mar 2025 00:00:00 GMT</t>
  </si>
  <si>
    <t>Fri, 21 Mar 2025 00:00:00 GMT</t>
  </si>
  <si>
    <t>Thu, 20 Mar 2025 00:00:00 GMT</t>
  </si>
  <si>
    <t>Wed, 19 Mar 2025 00:00:00 GMT</t>
  </si>
  <si>
    <t>Tue, 18 Mar 2025 00:00:00 GMT</t>
  </si>
  <si>
    <t>Mon, 17 Mar 2025 00:00:00 GMT</t>
  </si>
  <si>
    <t>Fri, 14 Mar 2025 00:00:00 GMT</t>
  </si>
  <si>
    <t>Thu, 13 Mar 2025 00:00:00 GMT</t>
  </si>
  <si>
    <t>Wed, 12 Mar 2025 00:00:00 GMT</t>
  </si>
  <si>
    <t>Tue, 11 Mar 2025 00:00:00 GMT</t>
  </si>
  <si>
    <t>Mon, 10 Mar 2025 00:00:00 GMT</t>
  </si>
  <si>
    <t>Fri, 07 Mar 2025 00:00:00 GMT</t>
  </si>
  <si>
    <t>Thu, 06 Mar 2025 00:00:00 GMT</t>
  </si>
  <si>
    <t>Wed, 05 Mar 2025 00:00:00 GMT</t>
  </si>
  <si>
    <t>Tue, 04 Mar 2025 00:00:00 GMT</t>
  </si>
  <si>
    <t>Mon, 03 Mar 2025 00:00:00 GMT</t>
  </si>
  <si>
    <t>Fri, 28 Feb 2025 00:00:00 GMT</t>
  </si>
  <si>
    <t>Thu, 27 Feb 2025 00:00:00 GMT</t>
  </si>
  <si>
    <t>Wed, 26 Feb 2025 00:00:00 GMT</t>
  </si>
  <si>
    <t>Tue, 25 Feb 2025 00:00:00 GMT</t>
  </si>
  <si>
    <t>Mon, 24 Feb 2025 00:00:00 GMT</t>
  </si>
  <si>
    <t>Fri, 21 Feb 2025 00:00:00 GMT</t>
  </si>
  <si>
    <t>Thu, 20 Feb 2025 00:00:00 GMT</t>
  </si>
  <si>
    <t>Wed, 19 Feb 2025 00:00:00 GMT</t>
  </si>
  <si>
    <t>Tue, 18 Feb 2025 00:00:00 GMT</t>
  </si>
  <si>
    <t>Fri, 14 Feb 2025 00:00:00 GMT</t>
  </si>
  <si>
    <t>Thu, 13 Feb 2025 00:00:00 GMT</t>
  </si>
  <si>
    <t>Wed, 12 Feb 2025 00:00:00 GMT</t>
  </si>
  <si>
    <t>Tue, 11 Feb 2025 00:00:00 GMT</t>
  </si>
  <si>
    <t>Mon, 10 Feb 2025 00:00:00 GMT</t>
  </si>
  <si>
    <t>Fri, 07 Feb 2025 00:00:00 GMT</t>
  </si>
  <si>
    <t>Thu, 06 Feb 2025 00:00:00 GMT</t>
  </si>
  <si>
    <t>Wed, 05 Feb 2025 00:00:00 GMT</t>
  </si>
  <si>
    <t>Tue, 04 Feb 2025 00:00:00 GMT</t>
  </si>
  <si>
    <t>Mon, 03 Feb 2025 00:00:00 GMT</t>
  </si>
  <si>
    <t>Fri, 31 Jan 2025 00:00:00 GMT</t>
  </si>
  <si>
    <t>Thu, 30 Jan 2025 00:00:00 GMT</t>
  </si>
  <si>
    <t>Wed, 29 Jan 2025 00:00:00 GMT</t>
  </si>
  <si>
    <t>Tue, 28 Jan 2025 00:00:00 GMT</t>
  </si>
  <si>
    <t>Mon, 27 Jan 2025 00:00:00 GMT</t>
  </si>
  <si>
    <t>Fri, 24 Jan 2025 00:00:00 GMT</t>
  </si>
  <si>
    <t>Thu, 23 Jan 2025 00:00:00 GMT</t>
  </si>
  <si>
    <t>Wed, 22 Jan 2025 00:00:00 GMT</t>
  </si>
  <si>
    <t>Tue, 21 Jan 2025 00:00:00 GMT</t>
  </si>
  <si>
    <t>Fri, 17 Jan 2025 00:00:00 GMT</t>
  </si>
  <si>
    <t>Thu, 16 Jan 2025 00:00:00 GMT</t>
  </si>
  <si>
    <t>Wed, 15 Jan 2025 00:00:00 GMT</t>
  </si>
  <si>
    <t>Tue, 14 Jan 2025 00:00:00 GMT</t>
  </si>
  <si>
    <t>Mon, 13 Jan 2025 00:00:00 GMT</t>
  </si>
  <si>
    <t>Fri, 10 Jan 2025 00:00:00 GMT</t>
  </si>
  <si>
    <t>Wed, 08 Jan 2025 00:00:00 GMT</t>
  </si>
  <si>
    <t>Tue, 07 Jan 2025 00:00:00 GMT</t>
  </si>
  <si>
    <t>Mon, 06 Jan 2025 00:00:00 GMT</t>
  </si>
  <si>
    <t>Fri, 03 Jan 2025 00:00:00 GMT</t>
  </si>
  <si>
    <t>Thu, 02 Jan 2025 00:00:00 GMT</t>
  </si>
  <si>
    <t>Tue, 31 Dec 2024 00:00:00 GMT</t>
  </si>
  <si>
    <t>Mon, 30 Dec 2024 00:00:00 GMT</t>
  </si>
  <si>
    <t>Fri, 27 Dec 2024 00:00:00 GMT</t>
  </si>
  <si>
    <t>Thu, 26 Dec 2024 00:00:00 GMT</t>
  </si>
  <si>
    <t>Tue, 24 Dec 2024 00:00:00 GMT</t>
  </si>
  <si>
    <t>Mon, 23 Dec 2024 00:00:00 GMT</t>
  </si>
  <si>
    <t>Fri, 20 Dec 2024 00:00:00 GMT</t>
  </si>
  <si>
    <t>Thu, 19 Dec 2024 00:00:00 GMT</t>
  </si>
  <si>
    <t>Wed, 18 Dec 2024 00:00:00 GMT</t>
  </si>
  <si>
    <t>Tue, 17 Dec 2024 00:00:00 GMT</t>
  </si>
  <si>
    <t>Mon, 16 Dec 2024 00:00:00 GMT</t>
  </si>
  <si>
    <t>Fri, 13 Dec 2024 00:00:00 GMT</t>
  </si>
  <si>
    <t>Thu, 12 Dec 2024 00:00:00 GMT</t>
  </si>
  <si>
    <t>Wed, 11 Dec 2024 00:00:00 GMT</t>
  </si>
  <si>
    <t>Tue, 10 Dec 2024 00:00:00 GMT</t>
  </si>
  <si>
    <t>Mon, 09 Dec 2024 00:00:00 GMT</t>
  </si>
  <si>
    <t>Fri, 06 Dec 2024 00:00:00 GMT</t>
  </si>
  <si>
    <t>Thu, 05 Dec 2024 00:00:00 GMT</t>
  </si>
  <si>
    <t>Wed, 04 Dec 2024 00:00:00 GMT</t>
  </si>
  <si>
    <t>Tue, 03 Dec 2024 00:00:00 GMT</t>
  </si>
  <si>
    <t>Mon, 02 Dec 2024 00:00:00 GMT</t>
  </si>
  <si>
    <t>Fri, 29 Nov 2024 00:00:00 GMT</t>
  </si>
  <si>
    <t>Wed, 27 Nov 2024 00:00:00 GMT</t>
  </si>
  <si>
    <t>Tue, 26 Nov 2024 00:00:00 GMT</t>
  </si>
  <si>
    <t>Mon, 25 Nov 2024 00:00:00 GMT</t>
  </si>
  <si>
    <t>Fri, 22 Nov 2024 00:00:00 GMT</t>
  </si>
  <si>
    <t>Thu, 21 Nov 2024 00:00:00 GMT</t>
  </si>
  <si>
    <t>Wed, 20 Nov 2024 00:00:00 GMT</t>
  </si>
  <si>
    <t>Tue, 19 Nov 2024 00:00:00 GMT</t>
  </si>
  <si>
    <t>Mon, 18 Nov 2024 00:00:00 GMT</t>
  </si>
  <si>
    <t>Fri, 15 Nov 2024 00:00:00 GMT</t>
  </si>
  <si>
    <t>Thu, 14 Nov 2024 00:00:00 GMT</t>
  </si>
  <si>
    <t>Wed, 13 Nov 2024 00:00:00 GMT</t>
  </si>
  <si>
    <t>Tue, 12 Nov 2024 00:00:00 GMT</t>
  </si>
  <si>
    <t>Mon, 11 Nov 2024 00:00:00 GMT</t>
  </si>
  <si>
    <t>Fri, 08 Nov 2024 00:00:00 GMT</t>
  </si>
  <si>
    <t>Thu, 07 Nov 2024 00:00:00 GMT</t>
  </si>
  <si>
    <t>Wed, 06 Nov 2024 00:00:00 GMT</t>
  </si>
  <si>
    <t>Tue, 05 Nov 2024 00:00:00 GMT</t>
  </si>
  <si>
    <t>Mon, 04 Nov 2024 00:00:00 GMT</t>
  </si>
  <si>
    <t>Fri, 01 Nov 2024 00:00:00 GMT</t>
  </si>
  <si>
    <t>Thu, 31 Oct 2024 00:00:00 GMT</t>
  </si>
  <si>
    <t>Wed, 30 Oct 2024 00:00:00 GMT</t>
  </si>
  <si>
    <t>Tue, 29 Oct 2024 00:00:00 GMT</t>
  </si>
  <si>
    <t>Mon, 28 Oct 2024 00:00:00 GMT</t>
  </si>
  <si>
    <t>Fri, 25 Oct 2024 00:00:00 GMT</t>
  </si>
  <si>
    <t>Thu, 24 Oct 2024 00:00:00 GMT</t>
  </si>
  <si>
    <t>Wed, 23 Oct 2024 00:00:00 GMT</t>
  </si>
  <si>
    <t>Tue, 22 Oct 2024 00:00:00 GMT</t>
  </si>
  <si>
    <t>Mon, 21 Oct 2024 00:00:00 GMT</t>
  </si>
  <si>
    <t>Fri, 18 Oct 2024 00:00:00 GMT</t>
  </si>
  <si>
    <t>Thu, 17 Oct 2024 00:00:00 GMT</t>
  </si>
  <si>
    <t>Wed, 16 Oct 2024 00:00:00 GMT</t>
  </si>
  <si>
    <t>Tue, 15 Oct 2024 00:00:00 GMT</t>
  </si>
  <si>
    <t>Mon, 14 Oct 2024 00:00:00 GMT</t>
  </si>
  <si>
    <t>Fri, 11 Oct 2024 00:00:00 GMT</t>
  </si>
  <si>
    <t>Thu, 10 Oct 2024 00:00:00 GMT</t>
  </si>
  <si>
    <t>Wed, 09 Oct 2024 00:00:00 GMT</t>
  </si>
  <si>
    <t>Tue, 08 Oct 2024 00:00:00 GMT</t>
  </si>
  <si>
    <t>Mon, 07 Oct 2024 00:00:00 GMT</t>
  </si>
  <si>
    <t>Fri, 04 Oct 2024 00:00:00 GMT</t>
  </si>
  <si>
    <t>Thu, 03 Oct 2024 00:00:00 GMT</t>
  </si>
  <si>
    <t>Wed, 02 Oct 2024 00:00:00 GMT</t>
  </si>
  <si>
    <t>Tue, 01 Oct 2024 00:00:00 GMT</t>
  </si>
  <si>
    <t>Mon, 30 Sep 2024 00:00:00 GMT</t>
  </si>
  <si>
    <t>Fri, 27 Sep 2024 00:00:00 GMT</t>
  </si>
  <si>
    <t>Thu, 26 Sep 2024 00:00:00 GMT</t>
  </si>
  <si>
    <t>Wed, 25 Sep 2024 00:00:00 GMT</t>
  </si>
  <si>
    <t>Tue, 24 Sep 2024 00:00:00 GMT</t>
  </si>
  <si>
    <t>Mon, 23 Sep 2024 00:00:00 GMT</t>
  </si>
  <si>
    <t>Fri, 20 Sep 2024 00:00:00 GMT</t>
  </si>
  <si>
    <t>Thu, 19 Sep 2024 00:00:00 GMT</t>
  </si>
  <si>
    <t>Wed, 18 Sep 2024 00:00:00 GMT</t>
  </si>
  <si>
    <t>Tue, 17 Sep 2024 00:00:00 GMT</t>
  </si>
  <si>
    <t>Mon, 16 Sep 2024 00:00:00 GMT</t>
  </si>
  <si>
    <t>Fri, 13 Sep 2024 00:00:00 GMT</t>
  </si>
  <si>
    <t>Thu, 12 Sep 2024 00:00:00 GMT</t>
  </si>
  <si>
    <t>Wed, 11 Sep 2024 00:00:00 GMT</t>
  </si>
  <si>
    <t>Tue, 10 Sep 2024 00:00:00 GMT</t>
  </si>
  <si>
    <t>Mon, 09 Sep 2024 00:00:00 GMT</t>
  </si>
  <si>
    <t>Fri, 06 Sep 2024 00:00:00 GMT</t>
  </si>
  <si>
    <t>Thu, 05 Sep 2024 00:00:00 GMT</t>
  </si>
  <si>
    <t>Wed, 04 Sep 2024 00:00:00 GMT</t>
  </si>
  <si>
    <t>Tue, 03 Sep 2024 00:00:00 GMT</t>
  </si>
  <si>
    <t>Fri, 30 Aug 2024 00:00:00 GMT</t>
  </si>
  <si>
    <t>Thu, 29 Aug 2024 00:00:00 GMT</t>
  </si>
  <si>
    <t>Wed, 28 Aug 2024 00:00:00 GMT</t>
  </si>
  <si>
    <t>Tue, 27 Aug 2024 00:00:00 GMT</t>
  </si>
  <si>
    <t>Mon, 26 Aug 2024 00:00:00 GMT</t>
  </si>
  <si>
    <t>Fri, 23 Aug 2024 00:00:00 GMT</t>
  </si>
  <si>
    <t>Thu, 22 Aug 2024 00:00:00 GMT</t>
  </si>
  <si>
    <t>Wed, 21 Aug 2024 00:00:00 GMT</t>
  </si>
  <si>
    <t>Tue, 20 Aug 2024 00:00:00 GMT</t>
  </si>
  <si>
    <t>Mon, 19 Aug 2024 00:00:00 GMT</t>
  </si>
  <si>
    <t>Fri, 16 Aug 2024 00:00:00 GMT</t>
  </si>
  <si>
    <t>Thu, 15 Aug 2024 00:00:00 GMT</t>
  </si>
  <si>
    <t>Wed, 14 Aug 2024 00:00:00 GMT</t>
  </si>
  <si>
    <t>Tue, 13 Aug 2024 00:00:00 GMT</t>
  </si>
  <si>
    <t>Mon, 12 Aug 2024 00:00:00 GMT</t>
  </si>
  <si>
    <t>Fri, 09 Aug 2024 00:00:00 GMT</t>
  </si>
  <si>
    <t>Thu, 08 Aug 2024 00:00:00 GMT</t>
  </si>
  <si>
    <t>Wed, 07 Aug 2024 00:00:00 GMT</t>
  </si>
  <si>
    <t>Tue, 06 Aug 2024 00:00:00 GMT</t>
  </si>
  <si>
    <t>Mon, 05 Aug 2024 00:00:00 GMT</t>
  </si>
  <si>
    <t>Fri, 02 Aug 2024 00:00:00 GMT</t>
  </si>
  <si>
    <t>Thu, 01 Aug 2024 00:00:00 GMT</t>
  </si>
  <si>
    <t>Wed, 31 Jul 2024 00:00:00 GMT</t>
  </si>
  <si>
    <t>Tue, 30 Jul 2024 00:00:00 GMT</t>
  </si>
  <si>
    <t>Mon, 29 Jul 2024 00:00:00 GMT</t>
  </si>
  <si>
    <t>Fri, 26 Jul 2024 00:00:00 GMT</t>
  </si>
  <si>
    <t>Thu, 25 Jul 2024 00:00:00 GMT</t>
  </si>
  <si>
    <t>Wed, 24 Jul 2024 00:00:00 GMT</t>
  </si>
  <si>
    <t>Tue, 23 Jul 2024 00:00:00 GMT</t>
  </si>
  <si>
    <t>Mon, 22 Jul 2024 00:00:00 GMT</t>
  </si>
  <si>
    <t>Fri, 19 Jul 2024 00:00:00 GMT</t>
  </si>
  <si>
    <t>Thu, 18 Jul 2024 00:00:00 GMT</t>
  </si>
  <si>
    <t>Wed, 17 Jul 2024 00:00:00 GMT</t>
  </si>
  <si>
    <t>Tue, 16 Jul 2024 00:00:00 GMT</t>
  </si>
  <si>
    <t>Mon, 15 Jul 2024 00:00:00 GMT</t>
  </si>
  <si>
    <t>Fri, 12 Jul 2024 00:00:00 GMT</t>
  </si>
  <si>
    <t>Thu, 11 Jul 2024 00:00:00 GMT</t>
  </si>
  <si>
    <t>Wed, 10 Jul 2024 00:00:00 GMT</t>
  </si>
  <si>
    <t>Tue, 09 Jul 2024 00:00:00 GMT</t>
  </si>
  <si>
    <t>Mon, 08 Jul 2024 00:00:00 GMT</t>
  </si>
  <si>
    <t>Fri, 05 Jul 2024 00:00:00 GMT</t>
  </si>
  <si>
    <t>Wed, 03 Jul 2024 00:00:00 GMT</t>
  </si>
  <si>
    <t>Tue, 02 Jul 2024 00:00:00 GMT</t>
  </si>
  <si>
    <t>Mon, 01 Jul 2024 00:00:00 GMT</t>
  </si>
  <si>
    <t>Fri, 28 Jun 2024 00:00:00 GMT</t>
  </si>
  <si>
    <t>Thu, 27 Jun 2024 00:00:00 GMT</t>
  </si>
  <si>
    <t>Wed, 26 Jun 2024 00:00:00 GMT</t>
  </si>
  <si>
    <t>Tue, 25 Jun 2024 00:00:00 GMT</t>
  </si>
  <si>
    <t>Mon, 24 Jun 2024 00:00:00 GMT</t>
  </si>
  <si>
    <t>Fri, 21 Jun 2024 00:00:00 GMT</t>
  </si>
  <si>
    <t>Thu, 20 Jun 2024 00:00:00 GMT</t>
  </si>
  <si>
    <t>Tue, 18 Jun 2024 00:00:00 GMT</t>
  </si>
  <si>
    <t>Mon, 17 Jun 2024 00:00:00 GMT</t>
  </si>
  <si>
    <t>Fri, 14 Jun 2024 00:00:00 GMT</t>
  </si>
  <si>
    <t>Thu, 13 Jun 2024 00:00:00 GMT</t>
  </si>
  <si>
    <t>Wed, 12 Jun 2024 00:00:00 GMT</t>
  </si>
  <si>
    <t>Tue, 11 Jun 2024 00:00:00 GMT</t>
  </si>
  <si>
    <t>Mon, 10 Jun 2024 00:00:00 GMT</t>
  </si>
  <si>
    <t>Fri, 07 Jun 2024 00:00:00 GMT</t>
  </si>
  <si>
    <t>Thu, 06 Jun 2024 00:00:00 GMT</t>
  </si>
  <si>
    <t>Wed, 05 Jun 2024 00:00:00 GMT</t>
  </si>
  <si>
    <t>Tue, 04 Jun 2024 00:00:00 GMT</t>
  </si>
  <si>
    <t>Mon, 03 Jun 2024 00:00:00 GMT</t>
  </si>
  <si>
    <t>Fri, 31 May 2024 00:00:00 GMT</t>
  </si>
  <si>
    <t>Thu, 30 May 2024 00:00:00 GMT</t>
  </si>
  <si>
    <t>Wed, 29 May 2024 00:00:00 GMT</t>
  </si>
  <si>
    <t>Tue, 28 May 2024 00:00:00 GMT</t>
  </si>
  <si>
    <t>Fri, 24 May 2024 00:00:00 GMT</t>
  </si>
  <si>
    <t>Thu, 23 May 2024 00:00:00 GMT</t>
  </si>
  <si>
    <t>Wed, 22 May 2024 00:00:00 GMT</t>
  </si>
  <si>
    <t>Tue, 21 May 2024 00:00:00 GMT</t>
  </si>
  <si>
    <t>Mon, 20 May 2024 00:00:00 GMT</t>
  </si>
  <si>
    <t>Fri, 17 May 2024 00:00:00 GMT</t>
  </si>
  <si>
    <t>Thu, 16 May 2024 00:00:00 GMT</t>
  </si>
  <si>
    <t>Wed, 15 May 2024 00:00:00 GMT</t>
  </si>
  <si>
    <t>Tue, 14 May 2024 00:00:00 GMT</t>
  </si>
  <si>
    <t>Mon, 13 May 2024 00:00:00 GMT</t>
  </si>
  <si>
    <t>Fri, 10 May 2024 00:00:00 GMT</t>
  </si>
  <si>
    <t>Thu, 09 May 2024 00:00:00 GMT</t>
  </si>
  <si>
    <t>Wed, 08 May 2024 00:00:00 GMT</t>
  </si>
  <si>
    <t>Tue, 07 May 2024 00:00:00 GMT</t>
  </si>
  <si>
    <t>Mon, 06 May 2024 00:00:00 GMT</t>
  </si>
  <si>
    <t>Fri, 03 May 2024 00:00:00 GMT</t>
  </si>
  <si>
    <t>Thu, 02 May 2024 00:00:00 GMT</t>
  </si>
  <si>
    <t>Wed, 01 May 2024 00:00:00 GMT</t>
  </si>
  <si>
    <t>Tue, 30 Apr 2024 00:00:00 GMT</t>
  </si>
  <si>
    <t>Mon, 29 Apr 2024 00:00:00 GMT</t>
  </si>
  <si>
    <t>Fri, 26 Apr 2024 00:00:00 GMT</t>
  </si>
  <si>
    <t>Thu, 25 Apr 2024 00:00:00 GMT</t>
  </si>
  <si>
    <t>Wed, 24 Apr 2024 00:00:00 GMT</t>
  </si>
  <si>
    <t>Tue, 23 Apr 2024 00:00:00 GMT</t>
  </si>
  <si>
    <t>Mon, 22 Apr 2024 00:00:00 GMT</t>
  </si>
  <si>
    <t>Fri, 19 Apr 2024 00:00:00 GMT</t>
  </si>
  <si>
    <t>Thu, 18 Apr 2024 00:00:00 GMT</t>
  </si>
  <si>
    <t>Wed, 17 Apr 2024 00:00:00 GMT</t>
  </si>
  <si>
    <t>Tue, 16 Apr 2024 00:00:00 GMT</t>
  </si>
  <si>
    <t>Mon, 15 Apr 2024 00:00:00 GMT</t>
  </si>
  <si>
    <t>Fri, 12 Apr 2024 00:00:00 GMT</t>
  </si>
  <si>
    <t>Thu, 11 Apr 2024 00:00:00 GMT</t>
  </si>
  <si>
    <t>Wed, 10 Apr 2024 00:00:00 GMT</t>
  </si>
  <si>
    <t>Tue, 09 Apr 2024 00:00:00 GMT</t>
  </si>
  <si>
    <t>Mon, 08 Apr 2024 00:00:00 GMT</t>
  </si>
  <si>
    <t>Fri, 05 Apr 2024 00:00:00 GMT</t>
  </si>
  <si>
    <t>Thu, 04 Apr 2024 00:00:00 GMT</t>
  </si>
  <si>
    <t>Wed, 03 Apr 2024 00:00:00 GMT</t>
  </si>
  <si>
    <t>Tue, 02 Apr 2024 00:00:00 GMT</t>
  </si>
  <si>
    <t>Mon, 01 Apr 2024 00:00:00 GMT</t>
  </si>
  <si>
    <t>Thu, 28 Mar 2024 00:00:00 GMT</t>
  </si>
  <si>
    <t>Wed, 27 Mar 2024 00:00:00 GMT</t>
  </si>
  <si>
    <t>Tue, 26 Mar 2024 00:00:00 GMT</t>
  </si>
  <si>
    <t>Mon, 25 Mar 2024 00:00:00 GMT</t>
  </si>
  <si>
    <t>Fri, 22 Mar 2024 00:00:00 GMT</t>
  </si>
  <si>
    <t>Thu, 21 Mar 2024 00:00:00 GMT</t>
  </si>
  <si>
    <t>Wed, 20 Mar 2024 00:00:00 GMT</t>
  </si>
  <si>
    <t>Tue, 19 Mar 2024 00:00:00 GMT</t>
  </si>
  <si>
    <t>Mon, 18 Mar 2024 00:00:00 GMT</t>
  </si>
  <si>
    <t>Fri, 15 Mar 2024 00:00:00 GMT</t>
  </si>
  <si>
    <t>Thu, 14 Mar 2024 00:00:00 GMT</t>
  </si>
  <si>
    <t>Wed, 13 Mar 2024 00:00:00 GMT</t>
  </si>
  <si>
    <t>Tue, 12 Mar 2024 00:00:00 GMT</t>
  </si>
  <si>
    <t>Mon, 11 Mar 2024 00:00:00 GMT</t>
  </si>
  <si>
    <t>Fri, 08 Mar 2024 00:00:00 GMT</t>
  </si>
  <si>
    <t>Thu, 07 Mar 2024 00:00:00 GMT</t>
  </si>
  <si>
    <t>Wed, 06 Mar 2024 00:00:00 GMT</t>
  </si>
  <si>
    <t>Tue, 05 Mar 2024 00:00:00 GMT</t>
  </si>
  <si>
    <t>Mon, 04 Mar 2024 00:00:00 GMT</t>
  </si>
  <si>
    <t>Fri, 01 Mar 2024 00:00:00 GMT</t>
  </si>
  <si>
    <t>Thu, 29 Feb 2024 00:00:00 GMT</t>
  </si>
  <si>
    <t>Wed, 28 Feb 2024 00:00:00 GMT</t>
  </si>
  <si>
    <t>Tue, 27 Feb 2024 00:00:00 GMT</t>
  </si>
  <si>
    <t>Mon, 26 Feb 2024 00:00:00 GMT</t>
  </si>
  <si>
    <t>Fri, 23 Feb 2024 00:00:00 GMT</t>
  </si>
  <si>
    <t>Thu, 22 Feb 2024 00:00:00 GMT</t>
  </si>
  <si>
    <t>Wed, 21 Feb 2024 00:00:00 GMT</t>
  </si>
  <si>
    <t>Tue, 20 Feb 2024 00:00:00 GMT</t>
  </si>
  <si>
    <t>Fri, 16 Feb 2024 00:00:00 GMT</t>
  </si>
  <si>
    <t>Thu, 15 Feb 2024 00:00:00 GMT</t>
  </si>
  <si>
    <t>Wed, 14 Feb 2024 00:00:00 GMT</t>
  </si>
  <si>
    <t>Tue, 13 Feb 2024 00:00:00 GMT</t>
  </si>
  <si>
    <t>Mon, 12 Feb 2024 00:00:00 GMT</t>
  </si>
  <si>
    <t>Fri, 09 Feb 2024 00:00:00 GMT</t>
  </si>
  <si>
    <t>Thu, 08 Feb 2024 00:00:00 GMT</t>
  </si>
  <si>
    <t>Wed, 07 Feb 2024 00:00:00 GMT</t>
  </si>
  <si>
    <t>Tue, 06 Feb 2024 00:00:00 GMT</t>
  </si>
  <si>
    <t>Mon, 05 Feb 2024 00:00:00 GMT</t>
  </si>
  <si>
    <t>Fri, 02 Feb 2024 00:00:00 GMT</t>
  </si>
  <si>
    <t>Thu, 01 Feb 2024 00:00:00 GMT</t>
  </si>
  <si>
    <t>Wed, 31 Jan 2024 00:00:00 GMT</t>
  </si>
  <si>
    <t>Tue, 30 Jan 2024 00:00:00 GMT</t>
  </si>
  <si>
    <t>Mon, 29 Jan 2024 00:00:00 GMT</t>
  </si>
  <si>
    <t>Fri, 26 Jan 2024 00:00:00 GMT</t>
  </si>
  <si>
    <t>Thu, 25 Jan 2024 00:00:00 GMT</t>
  </si>
  <si>
    <t>Wed, 24 Jan 2024 00:00:00 GMT</t>
  </si>
  <si>
    <t>Tue, 23 Jan 2024 00:00:00 GMT</t>
  </si>
  <si>
    <t>Mon, 22 Jan 2024 00:00:00 GMT</t>
  </si>
  <si>
    <t>Fri, 19 Jan 2024 00:00:00 GMT</t>
  </si>
  <si>
    <t>Thu, 18 Jan 2024 00:00:00 GMT</t>
  </si>
  <si>
    <t>Wed, 17 Jan 2024 00:00:00 GMT</t>
  </si>
  <si>
    <t>Tue, 16 Jan 2024 00:00:00 GMT</t>
  </si>
  <si>
    <t>Fri, 12 Jan 2024 00:00:00 GMT</t>
  </si>
  <si>
    <t>Thu, 11 Jan 2024 00:00:00 GMT</t>
  </si>
  <si>
    <t>Wed, 10 Jan 2024 00:00:00 GMT</t>
  </si>
  <si>
    <t>Tue, 09 Jan 2024 00:00:00 GMT</t>
  </si>
  <si>
    <t>Mon, 08 Jan 2024 00:00:00 GMT</t>
  </si>
  <si>
    <t>Fri, 05 Jan 2024 00:00:00 GMT</t>
  </si>
  <si>
    <t>Thu, 04 Jan 2024 00:00:00 GMT</t>
  </si>
  <si>
    <t>Wed, 03 Jan 2024 00:00:00 GMT</t>
  </si>
  <si>
    <t>Tue, 02 Jan 2024 00:00:00 GMT</t>
  </si>
  <si>
    <t>Fri, 29 Dec 2023 00:00:00 GMT</t>
  </si>
  <si>
    <t>Thu, 28 Dec 2023 00:00:00 GMT</t>
  </si>
  <si>
    <t>Wed, 27 Dec 2023 00:00:00 GMT</t>
  </si>
  <si>
    <t>Tue, 26 Dec 2023 00:00:00 GMT</t>
  </si>
  <si>
    <t>Fri, 22 Dec 2023 00:00:00 GMT</t>
  </si>
  <si>
    <t>Thu, 21 Dec 2023 00:00:00 GMT</t>
  </si>
  <si>
    <t>Wed, 20 Dec 2023 00:00:00 GMT</t>
  </si>
  <si>
    <t>Tue, 19 Dec 2023 00:00:00 GMT</t>
  </si>
  <si>
    <t>Mon, 18 Dec 2023 00:00:00 GMT</t>
  </si>
  <si>
    <t>Fri, 15 Dec 2023 00:00:00 GMT</t>
  </si>
  <si>
    <t>Thu, 14 Dec 2023 00:00:00 GMT</t>
  </si>
  <si>
    <t>Wed, 13 Dec 2023 00:00:00 GMT</t>
  </si>
  <si>
    <t>Tue, 12 Dec 2023 00:00:00 GMT</t>
  </si>
  <si>
    <t>Mon, 11 Dec 2023 00:00:00 GMT</t>
  </si>
  <si>
    <t>Fri, 08 Dec 2023 00:00:00 GMT</t>
  </si>
  <si>
    <t>Thu, 07 Dec 2023 00:00:00 GMT</t>
  </si>
  <si>
    <t>Wed, 06 Dec 2023 00:00:00 GMT</t>
  </si>
  <si>
    <t>Tue, 05 Dec 2023 00:00:00 GMT</t>
  </si>
  <si>
    <t>Mon, 04 Dec 2023 00:00:00 GMT</t>
  </si>
  <si>
    <t>Fri, 01 Dec 2023 00:00:00 GMT</t>
  </si>
  <si>
    <t>Thu, 30 Nov 2023 00:00:00 GMT</t>
  </si>
  <si>
    <t>Wed, 29 Nov 2023 00:00:00 GMT</t>
  </si>
  <si>
    <t>Tue, 28 Nov 2023 00:00:00 GMT</t>
  </si>
  <si>
    <t>Mon, 27 Nov 2023 00:00:00 GMT</t>
  </si>
  <si>
    <t>Fri, 24 Nov 2023 00:00:00 GMT</t>
  </si>
  <si>
    <t>Wed, 22 Nov 2023 00:00:00 GMT</t>
  </si>
  <si>
    <t>Tue, 21 Nov 2023 00:00:00 GMT</t>
  </si>
  <si>
    <t>Mon, 20 Nov 2023 00:00:00 GMT</t>
  </si>
  <si>
    <t>Fri, 17 Nov 2023 00:00:00 GMT</t>
  </si>
  <si>
    <t>Thu, 16 Nov 2023 00:00:00 GMT</t>
  </si>
  <si>
    <t>Wed, 15 Nov 2023 00:00:00 GMT</t>
  </si>
  <si>
    <t>Tue, 14 Nov 2023 00:00:00 GMT</t>
  </si>
  <si>
    <t>Mon, 13 Nov 2023 00:00:00 GMT</t>
  </si>
  <si>
    <t>Fri, 10 Nov 2023 00:00:00 GMT</t>
  </si>
  <si>
    <t>Thu, 09 Nov 2023 00:00:00 GMT</t>
  </si>
  <si>
    <t>Wed, 08 Nov 2023 00:00:00 GMT</t>
  </si>
  <si>
    <t>Tue, 07 Nov 2023 00:00:00 GMT</t>
  </si>
  <si>
    <t>Mon, 06 Nov 2023 00:00:00 GMT</t>
  </si>
  <si>
    <t>Fri, 03 Nov 2023 00:00:00 GMT</t>
  </si>
  <si>
    <t>Thu, 02 Nov 2023 00:00:00 GMT</t>
  </si>
  <si>
    <t>Wed, 01 Nov 2023 00:00:00 GMT</t>
  </si>
  <si>
    <t>Tue, 31 Oct 2023 00:00:00 GMT</t>
  </si>
  <si>
    <t>Mon, 30 Oct 2023 00:00:00 GMT</t>
  </si>
  <si>
    <t>Fri, 27 Oct 2023 00:00:00 GMT</t>
  </si>
  <si>
    <t>Thu, 26 Oct 2023 00:00:00 GMT</t>
  </si>
  <si>
    <t>Wed, 25 Oct 2023 00:00:00 GMT</t>
  </si>
  <si>
    <t>Tue, 24 Oct 2023 00:00:00 GMT</t>
  </si>
  <si>
    <t>Mon, 23 Oct 2023 00:00:00 GMT</t>
  </si>
  <si>
    <t>Fri, 20 Oct 2023 00:00:00 GMT</t>
  </si>
  <si>
    <t>Thu, 19 Oct 2023 00:00:00 GMT</t>
  </si>
  <si>
    <t>Wed, 18 Oct 2023 00:00:00 GMT</t>
  </si>
  <si>
    <t>Tue, 17 Oct 2023 00:00:00 GMT</t>
  </si>
  <si>
    <t>Mon, 16 Oct 2023 00:00:00 GMT</t>
  </si>
  <si>
    <t>Fri, 13 Oct 2023 00:00:00 GMT</t>
  </si>
  <si>
    <t>Thu, 12 Oct 2023 00:00:00 GMT</t>
  </si>
  <si>
    <t>Wed, 11 Oct 2023 00:00:00 GMT</t>
  </si>
  <si>
    <t>Tue, 10 Oct 2023 00:00:00 GMT</t>
  </si>
  <si>
    <t>Mon, 09 Oct 2023 00:00:00 GMT</t>
  </si>
  <si>
    <t>Fri, 06 Oct 2023 00:00:00 GMT</t>
  </si>
  <si>
    <t>Thu, 05 Oct 2023 00:00:00 GMT</t>
  </si>
  <si>
    <t>Wed, 04 Oct 2023 00:00:00 GMT</t>
  </si>
  <si>
    <t>Tue, 03 Oct 2023 00:00:00 GMT</t>
  </si>
  <si>
    <t>Mon, 02 Oct 2023 00:00:00 GMT</t>
  </si>
  <si>
    <t>Fri, 29 Sep 2023 00:00:00 GMT</t>
  </si>
  <si>
    <t>Thu, 28 Sep 2023 00:00:00 GMT</t>
  </si>
  <si>
    <t>Wed, 27 Sep 2023 00:00:00 GMT</t>
  </si>
  <si>
    <t>Tue, 26 Sep 2023 00:00:00 GMT</t>
  </si>
  <si>
    <t>Mon, 25 Sep 2023 00:00:00 GMT</t>
  </si>
  <si>
    <t>Fri, 22 Sep 2023 00:00:00 GMT</t>
  </si>
  <si>
    <t>Thu, 21 Sep 2023 00:00:00 GMT</t>
  </si>
  <si>
    <t>Wed, 20 Sep 2023 00:00:00 GMT</t>
  </si>
  <si>
    <t>Tue, 19 Sep 2023 00:00:00 GMT</t>
  </si>
  <si>
    <t>Mon, 18 Sep 2023 00:00:00 GMT</t>
  </si>
  <si>
    <t>Fri, 15 Sep 2023 00:00:00 GMT</t>
  </si>
  <si>
    <t>Thu, 14 Sep 2023 00:00:00 GMT</t>
  </si>
  <si>
    <t>Wed, 13 Sep 2023 00:00:00 GMT</t>
  </si>
  <si>
    <t>Tue, 12 Sep 2023 00:00:00 GMT</t>
  </si>
  <si>
    <t>Mon, 11 Sep 2023 00:00:00 GMT</t>
  </si>
  <si>
    <t>Fri, 08 Sep 2023 00:00:00 GMT</t>
  </si>
  <si>
    <t>Thu, 07 Sep 2023 00:00:00 GMT</t>
  </si>
  <si>
    <t>Wed, 06 Sep 2023 00:00:00 GMT</t>
  </si>
  <si>
    <t>Tue, 05 Sep 2023 00:00:00 GMT</t>
  </si>
  <si>
    <t>Fri, 01 Sep 2023 00:00:00 GMT</t>
  </si>
  <si>
    <t>Thu, 31 Aug 2023 00:00:00 GMT</t>
  </si>
  <si>
    <t>Wed, 30 Aug 2023 00:00:00 GMT</t>
  </si>
  <si>
    <t>Tue, 29 Aug 2023 00:00:00 GMT</t>
  </si>
  <si>
    <t>Mon, 28 Aug 2023 00:00:00 GMT</t>
  </si>
  <si>
    <t>Fri, 25 Aug 2023 00:00:00 GMT</t>
  </si>
  <si>
    <t>Thu, 24 Aug 2023 00:00:00 GMT</t>
  </si>
  <si>
    <t>Wed, 23 Aug 2023 00:00:00 GMT</t>
  </si>
  <si>
    <t>Tue, 22 Aug 2023 00:00:00 GMT</t>
  </si>
  <si>
    <t>Mon, 21 Aug 2023 00:00:00 GMT</t>
  </si>
  <si>
    <t>Fri, 18 Aug 2023 00:00:00 GMT</t>
  </si>
  <si>
    <t>Thu, 17 Aug 2023 00:00:00 GMT</t>
  </si>
  <si>
    <t>Wed, 16 Aug 2023 00:00:00 GMT</t>
  </si>
  <si>
    <t>Tue, 15 Aug 2023 00:00:00 GMT</t>
  </si>
  <si>
    <t>Mon, 14 Aug 2023 00:00:00 GMT</t>
  </si>
  <si>
    <t>Fri, 11 Aug 2023 00:00:00 GMT</t>
  </si>
  <si>
    <t>Thu, 10 Aug 2023 00:00:00 GMT</t>
  </si>
  <si>
    <t>Wed, 09 Aug 2023 00:00:00 GMT</t>
  </si>
  <si>
    <t>Tue, 08 Aug 2023 00:00:00 GMT</t>
  </si>
  <si>
    <t>Mon, 07 Aug 2023 00:00:00 GMT</t>
  </si>
  <si>
    <t>Fri, 04 Aug 2023 00:00:00 GMT</t>
  </si>
  <si>
    <t>Thu, 03 Aug 2023 00:00:00 GMT</t>
  </si>
  <si>
    <t>Wed, 02 Aug 2023 00:00:00 GMT</t>
  </si>
  <si>
    <t>Tue, 01 Aug 2023 00:00:00 GMT</t>
  </si>
  <si>
    <t>Mon, 31 Jul 2023 00:00:00 GMT</t>
  </si>
  <si>
    <t>Fri, 28 Jul 2023 00:00:00 GMT</t>
  </si>
  <si>
    <t>Thu, 27 Jul 2023 00:00:00 GMT</t>
  </si>
  <si>
    <t>Wed, 26 Jul 2023 00:00:00 GMT</t>
  </si>
  <si>
    <t>Tue, 25 Jul 2023 00:00:00 GMT</t>
  </si>
  <si>
    <t>Mon, 24 Jul 2023 00:00:00 GMT</t>
  </si>
  <si>
    <t>Fri, 21 Jul 2023 00:00:00 GMT</t>
  </si>
  <si>
    <t>Thu, 20 Jul 2023 00:00:00 GMT</t>
  </si>
  <si>
    <t>Wed, 19 Jul 2023 00:00:00 GMT</t>
  </si>
  <si>
    <t>Tue, 18 Jul 2023 00:00:00 GMT</t>
  </si>
  <si>
    <t>Mon, 17 Jul 2023 00:00:00 GMT</t>
  </si>
  <si>
    <t>Fri, 14 Jul 2023 00:00:00 GMT</t>
  </si>
  <si>
    <t>Thu, 13 Jul 2023 00:00:00 GMT</t>
  </si>
  <si>
    <t>Wed, 12 Jul 2023 00:00:00 GMT</t>
  </si>
  <si>
    <t>Tue, 11 Jul 2023 00:00:00 GMT</t>
  </si>
  <si>
    <t>Mon, 10 Jul 2023 00:00:00 GMT</t>
  </si>
  <si>
    <t>Fri, 07 Jul 2023 00:00:00 GMT</t>
  </si>
  <si>
    <t>Thu, 06 Jul 2023 00:00:00 GMT</t>
  </si>
  <si>
    <t>Wed, 05 Jul 2023 00:00:00 GMT</t>
  </si>
  <si>
    <t>Mon, 03 Jul 2023 00:00:00 GMT</t>
  </si>
  <si>
    <t>Fri, 30 Jun 2023 00:00:00 GMT</t>
  </si>
  <si>
    <t>Thu, 29 Jun 2023 00:00:00 GMT</t>
  </si>
  <si>
    <t>Wed, 28 Jun 2023 00:00:00 GMT</t>
  </si>
  <si>
    <t>Tue, 27 Jun 2023 00:00:00 GMT</t>
  </si>
  <si>
    <t>Mon, 26 Jun 2023 00:00:00 GMT</t>
  </si>
  <si>
    <t>Fri, 23 Jun 2023 00:00:00 GMT</t>
  </si>
  <si>
    <t>Thu, 22 Jun 2023 00:00:00 GMT</t>
  </si>
  <si>
    <t>Wed, 21 Jun 2023 00:00:00 GMT</t>
  </si>
  <si>
    <t>Tue, 20 Jun 2023 00:00:00 GMT</t>
  </si>
  <si>
    <t>Fri, 16 Jun 2023 00:00:00 GMT</t>
  </si>
  <si>
    <t>Thu, 15 Jun 2023 00:00:00 GMT</t>
  </si>
  <si>
    <t>Wed, 14 Jun 2023 00:00:00 GMT</t>
  </si>
  <si>
    <t>Tue, 13 Jun 2023 00:00:00 GMT</t>
  </si>
  <si>
    <t>Mon, 12 Jun 2023 00:00:00 GMT</t>
  </si>
  <si>
    <t>Fri, 09 Jun 2023 00:00:00 GMT</t>
  </si>
  <si>
    <t>Thu, 08 Jun 2023 00:00:00 GMT</t>
  </si>
  <si>
    <t>Wed, 07 Jun 2023 00:00:00 GMT</t>
  </si>
  <si>
    <t>Tue, 06 Jun 2023 00:00:00 GMT</t>
  </si>
  <si>
    <t>Mon, 05 Jun 2023 00:00:00 GMT</t>
  </si>
  <si>
    <t>Fri, 02 Jun 2023 00:00:00 GMT</t>
  </si>
  <si>
    <t>Thu, 01 Jun 2023 00:00:00 GMT</t>
  </si>
  <si>
    <t>Wed, 31 May 2023 00:00:00 GMT</t>
  </si>
  <si>
    <t>Tue, 30 May 2023 00:00:00 GMT</t>
  </si>
  <si>
    <t>Fri, 26 May 2023 00:00:00 GMT</t>
  </si>
  <si>
    <t>Thu, 25 May 2023 00:00:00 GMT</t>
  </si>
  <si>
    <t>Wed, 24 May 2023 00:00:00 GMT</t>
  </si>
  <si>
    <t>Tue, 23 May 2023 00:00:00 GMT</t>
  </si>
  <si>
    <t>Mon, 22 May 2023 00:00:00 GMT</t>
  </si>
  <si>
    <t>Fri, 19 May 2023 00:00:00 GMT</t>
  </si>
  <si>
    <t>Thu, 18 May 2023 00:00:00 GMT</t>
  </si>
  <si>
    <t>Wed, 17 May 2023 00:00:00 GMT</t>
  </si>
  <si>
    <t>Tue, 16 May 2023 00:00:00 GMT</t>
  </si>
  <si>
    <t>Mon, 15 May 2023 00:00:00 GMT</t>
  </si>
  <si>
    <t>Fri, 12 May 2023 00:00:00 GMT</t>
  </si>
  <si>
    <t>Thu, 11 May 2023 00:00:00 GMT</t>
  </si>
  <si>
    <t>Wed, 10 May 2023 00:00:00 GMT</t>
  </si>
  <si>
    <t>Tue, 09 May 2023 00:00:00 GMT</t>
  </si>
  <si>
    <t>Mon, 08 May 2023 00:00:00 GMT</t>
  </si>
  <si>
    <t>Fri, 05 May 2023 00:00:00 GMT</t>
  </si>
  <si>
    <t>Thu, 04 May 2023 00:00:00 GMT</t>
  </si>
  <si>
    <t>Wed, 03 May 2023 00:00:00 GMT</t>
  </si>
  <si>
    <t>Tue, 02 May 2023 00:00:00 GMT</t>
  </si>
  <si>
    <t>Mon, 01 May 2023 00:00:00 GMT</t>
  </si>
  <si>
    <t>Fri, 28 Apr 2023 00:00:00 GMT</t>
  </si>
  <si>
    <t>Thu, 27 Apr 2023 00:00:00 GMT</t>
  </si>
  <si>
    <t>Wed, 26 Apr 2023 00:00:00 GMT</t>
  </si>
  <si>
    <t>Tue, 25 Apr 2023 00:00:00 GMT</t>
  </si>
  <si>
    <t>Mon, 24 Apr 2023 00:00:00 GMT</t>
  </si>
  <si>
    <t>Fri, 21 Apr 2023 00:00:00 GMT</t>
  </si>
  <si>
    <t>Thu, 20 Apr 2023 00:00:00 GMT</t>
  </si>
  <si>
    <t>Wed, 19 Apr 2023 00:00:00 GMT</t>
  </si>
  <si>
    <t>Tue, 18 Apr 2023 00:00:00 GMT</t>
  </si>
  <si>
    <t>Mon, 17 Apr 2023 00:00:00 GMT</t>
  </si>
  <si>
    <t>Fri, 14 Apr 2023 00:00:00 GMT</t>
  </si>
  <si>
    <t>Thu, 13 Apr 2023 00:00:00 GMT</t>
  </si>
  <si>
    <t>Wed, 12 Apr 2023 00:00:00 GMT</t>
  </si>
  <si>
    <t>Tue, 11 Apr 2023 00:00:00 GMT</t>
  </si>
  <si>
    <t>Mon, 10 Apr 2023 00:00:00 GMT</t>
  </si>
  <si>
    <t>Thu, 06 Apr 2023 00:00:00 GMT</t>
  </si>
  <si>
    <t>Wed, 05 Apr 2023 00:00:00 GMT</t>
  </si>
  <si>
    <t>Tue, 04 Apr 2023 00:00:00 GMT</t>
  </si>
  <si>
    <t>Mon, 03 Apr 2023 00:00:00 GMT</t>
  </si>
  <si>
    <t>Fri, 31 Mar 2023 00:00:00 GMT</t>
  </si>
  <si>
    <t>Thu, 30 Mar 2023 00:00:00 GMT</t>
  </si>
  <si>
    <t>Wed, 29 Mar 2023 00:00:00 GMT</t>
  </si>
  <si>
    <t>Tue, 28 Mar 2023 00:00:00 GMT</t>
  </si>
  <si>
    <t>Mon, 27 Mar 2023 00:00:00 GMT</t>
  </si>
  <si>
    <t>Fri, 24 Mar 2023 00:00:00 GMT</t>
  </si>
  <si>
    <t>Thu, 23 Mar 2023 00:00:00 GMT</t>
  </si>
  <si>
    <t>Wed, 22 Mar 2023 00:00:00 GMT</t>
  </si>
  <si>
    <t>Tue, 21 Mar 2023 00:00:00 GMT</t>
  </si>
  <si>
    <t>Mon, 20 Mar 2023 00:00:00 GMT</t>
  </si>
  <si>
    <t>Fri, 17 Mar 2023 00:00:00 GMT</t>
  </si>
  <si>
    <t>Thu, 16 Mar 2023 00:00:00 GMT</t>
  </si>
  <si>
    <t>Wed, 15 Mar 2023 00:00:00 GMT</t>
  </si>
  <si>
    <t>Tue, 14 Mar 2023 00:00:00 GMT</t>
  </si>
  <si>
    <t>Mon, 13 Mar 2023 00:00:00 GMT</t>
  </si>
  <si>
    <t>Fri, 10 Mar 2023 00:00:00 GMT</t>
  </si>
  <si>
    <t>Thu, 09 Mar 2023 00:00:00 GMT</t>
  </si>
  <si>
    <t>Wed, 08 Mar 2023 00:00:00 GMT</t>
  </si>
  <si>
    <t>Tue, 07 Mar 2023 00:00:00 GMT</t>
  </si>
  <si>
    <t>Mon, 06 Mar 2023 00:00:00 GMT</t>
  </si>
  <si>
    <t>Fri, 03 Mar 2023 00:00:00 GMT</t>
  </si>
  <si>
    <t>Thu, 02 Mar 2023 00:00:00 GMT</t>
  </si>
  <si>
    <t>Wed, 01 Mar 2023 00:00:00 GMT</t>
  </si>
  <si>
    <t>Tue, 28 Feb 2023 00:00:00 GMT</t>
  </si>
  <si>
    <t>Mon, 27 Feb 2023 00:00:00 GMT</t>
  </si>
  <si>
    <t>Fri, 24 Feb 2023 00:00:00 GMT</t>
  </si>
  <si>
    <t>Thu, 23 Feb 2023 00:00:00 GMT</t>
  </si>
  <si>
    <t>Wed, 22 Feb 2023 00:00:00 GMT</t>
  </si>
  <si>
    <t>Tue, 21 Feb 2023 00:00:00 GMT</t>
  </si>
  <si>
    <t>Fri, 17 Feb 2023 00:00:00 GMT</t>
  </si>
  <si>
    <t>Thu, 16 Feb 2023 00:00:00 GMT</t>
  </si>
  <si>
    <t>Wed, 15 Feb 2023 00:00:00 GMT</t>
  </si>
  <si>
    <t>Tue, 14 Feb 2023 00:00:00 GMT</t>
  </si>
  <si>
    <t>Mon, 13 Feb 2023 00:00:00 GMT</t>
  </si>
  <si>
    <t>Fri, 10 Feb 2023 00:00:00 GMT</t>
  </si>
  <si>
    <t>Thu, 09 Feb 2023 00:00:00 GMT</t>
  </si>
  <si>
    <t>Wed, 08 Feb 2023 00:00:00 GMT</t>
  </si>
  <si>
    <t>Tue, 07 Feb 2023 00:00:00 GMT</t>
  </si>
  <si>
    <t>Mon, 06 Feb 2023 00:00:00 GMT</t>
  </si>
  <si>
    <t>Fri, 03 Feb 2023 00:00:00 GMT</t>
  </si>
  <si>
    <t>Thu, 02 Feb 2023 00:00:00 GMT</t>
  </si>
  <si>
    <t>Wed, 01 Feb 2023 00:00:00 GMT</t>
  </si>
  <si>
    <t>Tue, 31 Jan 2023 00:00:00 GMT</t>
  </si>
  <si>
    <t>Mon, 30 Jan 2023 00:00:00 GMT</t>
  </si>
  <si>
    <t>Fri, 27 Jan 2023 00:00:00 GMT</t>
  </si>
  <si>
    <t>Thu, 26 Jan 2023 00:00:00 GMT</t>
  </si>
  <si>
    <t>Wed, 25 Jan 2023 00:00:00 GMT</t>
  </si>
  <si>
    <t>Tue, 24 Jan 2023 00:00:00 GMT</t>
  </si>
  <si>
    <t>Mon, 23 Jan 2023 00:00:00 GMT</t>
  </si>
  <si>
    <t>Fri, 20 Jan 2023 00:00:00 GMT</t>
  </si>
  <si>
    <t>Thu, 19 Jan 2023 00:00:00 GMT</t>
  </si>
  <si>
    <t>Wed, 18 Jan 2023 00:00:00 GMT</t>
  </si>
  <si>
    <t>Tue, 17 Jan 2023 00:00:00 GMT</t>
  </si>
  <si>
    <t>Fri, 13 Jan 2023 00:00:00 GMT</t>
  </si>
  <si>
    <t>Thu, 12 Jan 2023 00:00:00 GMT</t>
  </si>
  <si>
    <t>Wed, 11 Jan 2023 00:00:00 GMT</t>
  </si>
  <si>
    <t>Tue, 10 Jan 2023 00:00:00 GMT</t>
  </si>
  <si>
    <t>Mon, 09 Jan 2023 00:00:00 GMT</t>
  </si>
  <si>
    <t>Fri, 06 Jan 2023 00:00:00 GMT</t>
  </si>
  <si>
    <t>Thu, 05 Jan 2023 00:00:00 GMT</t>
  </si>
  <si>
    <t>Wed, 04 Jan 2023 00:00:00 GMT</t>
  </si>
  <si>
    <t>Tue, 03 Jan 2023 00:00:00 GMT</t>
  </si>
  <si>
    <t>Fri, 30 Dec 2022 00:00:00 GMT</t>
  </si>
  <si>
    <t>Thu, 29 Dec 2022 00:00:00 GMT</t>
  </si>
  <si>
    <t>Wed, 28 Dec 2022 00:00:00 GMT</t>
  </si>
  <si>
    <t>Tue, 27 Dec 2022 00:00:00 GMT</t>
  </si>
  <si>
    <t>Fri, 23 Dec 2022 00:00:00 GMT</t>
  </si>
  <si>
    <t>Thu, 22 Dec 2022 00:00:00 GMT</t>
  </si>
  <si>
    <t>Wed, 21 Dec 2022 00:00:00 GMT</t>
  </si>
  <si>
    <t>Tue, 20 Dec 2022 00:00:00 GMT</t>
  </si>
  <si>
    <t>Mon, 19 Dec 2022 00:00:00 GMT</t>
  </si>
  <si>
    <t>Fri, 16 Dec 2022 00:00:00 GMT</t>
  </si>
  <si>
    <t>Thu, 15 Dec 2022 00:00:00 GMT</t>
  </si>
  <si>
    <t>Wed, 14 Dec 2022 00:00:00 GMT</t>
  </si>
  <si>
    <t>Tue, 13 Dec 2022 00:00:00 GMT</t>
  </si>
  <si>
    <t>Mon, 12 Dec 2022 00:00:00 GMT</t>
  </si>
  <si>
    <t>Fri, 09 Dec 2022 00:00:00 GMT</t>
  </si>
  <si>
    <t>Thu, 08 Dec 2022 00:00:00 GMT</t>
  </si>
  <si>
    <t>Wed, 07 Dec 2022 00:00:00 GMT</t>
  </si>
  <si>
    <t>Tue, 06 Dec 2022 00:00:00 GMT</t>
  </si>
  <si>
    <t>Mon, 05 Dec 2022 00:00:00 GMT</t>
  </si>
  <si>
    <t>Fri, 02 Dec 2022 00:00:00 GMT</t>
  </si>
  <si>
    <t>Thu, 01 Dec 2022 00:00:00 GMT</t>
  </si>
  <si>
    <t>Wed, 30 Nov 2022 00:00:00 GMT</t>
  </si>
  <si>
    <t>Tue, 29 Nov 2022 00:00:00 GMT</t>
  </si>
  <si>
    <t>Mon, 28 Nov 2022 00:00:00 GMT</t>
  </si>
  <si>
    <t>Fri, 25 Nov 2022 00:00:00 GMT</t>
  </si>
  <si>
    <t>Wed, 23 Nov 2022 00:00:00 GMT</t>
  </si>
  <si>
    <t>Tue, 22 Nov 2022 00:00:00 GMT</t>
  </si>
  <si>
    <t>Mon, 21 Nov 2022 00:00:00 GMT</t>
  </si>
  <si>
    <t>Fri, 18 Nov 2022 00:00:00 GMT</t>
  </si>
  <si>
    <t>Thu, 17 Nov 2022 00:00:00 GMT</t>
  </si>
  <si>
    <t>Wed, 16 Nov 2022 00:00:00 GMT</t>
  </si>
  <si>
    <t>Tue, 15 Nov 2022 00:00:00 GMT</t>
  </si>
  <si>
    <t>Mon, 14 Nov 2022 00:00:00 GMT</t>
  </si>
  <si>
    <t>Fri, 11 Nov 2022 00:00:00 GMT</t>
  </si>
  <si>
    <t>Thu, 10 Nov 2022 00:00:00 GMT</t>
  </si>
  <si>
    <t>Wed, 09 Nov 2022 00:00:00 GMT</t>
  </si>
  <si>
    <t>Tue, 08 Nov 2022 00:00:00 GMT</t>
  </si>
  <si>
    <t>Mon, 07 Nov 2022 00:00:00 GMT</t>
  </si>
  <si>
    <t>Fri, 04 Nov 2022 00:00:00 GMT</t>
  </si>
  <si>
    <t>Thu, 03 Nov 2022 00:00:00 GMT</t>
  </si>
  <si>
    <t>Wed, 02 Nov 2022 00:00:00 GMT</t>
  </si>
  <si>
    <t>Tue, 01 Nov 2022 00:00:00 GMT</t>
  </si>
  <si>
    <t>Mon, 31 Oct 2022 00:00:00 GMT</t>
  </si>
  <si>
    <t>Fri, 28 Oct 2022 00:00:00 GMT</t>
  </si>
  <si>
    <t>Thu, 27 Oct 2022 00:00:00 GMT</t>
  </si>
  <si>
    <t>Wed, 26 Oct 2022 00:00:00 GMT</t>
  </si>
  <si>
    <t>Tue, 25 Oct 2022 00:00:00 GMT</t>
  </si>
  <si>
    <t>Mon, 24 Oct 2022 00:00:00 GMT</t>
  </si>
  <si>
    <t>Fri, 21 Oct 2022 00:00:00 GMT</t>
  </si>
  <si>
    <t>Thu, 20 Oct 2022 00:00:00 GMT</t>
  </si>
  <si>
    <t>Wed, 19 Oct 2022 00:00:00 GMT</t>
  </si>
  <si>
    <t>Tue, 18 Oct 2022 00:00:00 GMT</t>
  </si>
  <si>
    <t>Mon, 17 Oct 2022 00:00:00 GMT</t>
  </si>
  <si>
    <t>Fri, 14 Oct 2022 00:00:00 GMT</t>
  </si>
  <si>
    <t>Thu, 13 Oct 2022 00:00:00 GMT</t>
  </si>
  <si>
    <t>Wed, 12 Oct 2022 00:00:00 GMT</t>
  </si>
  <si>
    <t>Tue, 11 Oct 2022 00:00:00 GMT</t>
  </si>
  <si>
    <t>Mon, 10 Oct 2022 00:00:00 GMT</t>
  </si>
  <si>
    <t>Fri, 07 Oct 2022 00:00:00 GMT</t>
  </si>
  <si>
    <t>Thu, 06 Oct 2022 00:00:00 GMT</t>
  </si>
  <si>
    <t>Wed, 05 Oct 2022 00:00:00 GMT</t>
  </si>
  <si>
    <t>Tue, 04 Oct 2022 00:00:00 GMT</t>
  </si>
  <si>
    <t>Mon, 03 Oct 2022 00:00:00 GMT</t>
  </si>
  <si>
    <t>Fri, 30 Sep 2022 00:00:00 GMT</t>
  </si>
  <si>
    <t>Thu, 29 Sep 2022 00:00:00 GMT</t>
  </si>
  <si>
    <t>Wed, 28 Sep 2022 00:00:00 GMT</t>
  </si>
  <si>
    <t>Tue, 27 Sep 2022 00:00:00 GMT</t>
  </si>
  <si>
    <t>Mon, 26 Sep 2022 00:00:00 GMT</t>
  </si>
  <si>
    <t>Fri, 23 Sep 2022 00:00:00 GMT</t>
  </si>
  <si>
    <t>Thu, 22 Sep 2022 00:00:00 GMT</t>
  </si>
  <si>
    <t>Wed, 21 Sep 2022 00:00:00 GMT</t>
  </si>
  <si>
    <t>Tue, 20 Sep 2022 00:00:00 GMT</t>
  </si>
  <si>
    <t>Mon, 19 Sep 2022 00:00:00 GMT</t>
  </si>
  <si>
    <t>Fri, 16 Sep 2022 00:00:00 GMT</t>
  </si>
  <si>
    <t>Thu, 15 Sep 2022 00:00:00 GMT</t>
  </si>
  <si>
    <t>Wed, 14 Sep 2022 00:00:00 GMT</t>
  </si>
  <si>
    <t>Tue, 13 Sep 2022 00:00:00 GMT</t>
  </si>
  <si>
    <t>Mon, 12 Sep 2022 00:00:00 GMT</t>
  </si>
  <si>
    <t>Fri, 09 Sep 2022 00:00:00 GMT</t>
  </si>
  <si>
    <t>Thu, 08 Sep 2022 00:00:00 GMT</t>
  </si>
  <si>
    <t>Wed, 07 Sep 2022 00:00:00 GMT</t>
  </si>
  <si>
    <t>Tue, 06 Sep 2022 00:00:00 GMT</t>
  </si>
  <si>
    <t>Fri, 02 Sep 2022 00:00:00 GMT</t>
  </si>
  <si>
    <t>Thu, 01 Sep 2022 00:00:00 GMT</t>
  </si>
  <si>
    <t>Wed, 31 Aug 2022 00:00:00 GMT</t>
  </si>
  <si>
    <t>Tue, 30 Aug 2022 00:00:00 GMT</t>
  </si>
  <si>
    <t>Mon, 29 Aug 2022 00:00:00 GMT</t>
  </si>
  <si>
    <t>Fri, 26 Aug 2022 00:00:00 GMT</t>
  </si>
  <si>
    <t>Thu, 25 Aug 2022 00:00:00 GMT</t>
  </si>
  <si>
    <t>Wed, 24 Aug 2022 00:00:00 GMT</t>
  </si>
  <si>
    <t>Tue, 23 Aug 2022 00:00:00 GMT</t>
  </si>
  <si>
    <t>Mon, 22 Aug 2022 00:00:00 GMT</t>
  </si>
  <si>
    <t>Fri, 19 Aug 2022 00:00:00 GMT</t>
  </si>
  <si>
    <t>Thu, 18 Aug 2022 00:00:00 GMT</t>
  </si>
  <si>
    <t>Wed, 17 Aug 2022 00:00:00 GMT</t>
  </si>
  <si>
    <t>Tue, 16 Aug 2022 00:00:00 GMT</t>
  </si>
  <si>
    <t>Mon, 15 Aug 2022 00:00:00 GMT</t>
  </si>
  <si>
    <t>Fri, 12 Aug 2022 00:00:00 GMT</t>
  </si>
  <si>
    <t>Thu, 11 Aug 2022 00:00:00 GMT</t>
  </si>
  <si>
    <t>Wed, 10 Aug 2022 00:00:00 GMT</t>
  </si>
  <si>
    <t>Tue, 09 Aug 2022 00:00:00 GMT</t>
  </si>
  <si>
    <t>Mon, 08 Aug 2022 00:00:00 GMT</t>
  </si>
  <si>
    <t>Fri, 05 Aug 2022 00:00:00 GMT</t>
  </si>
  <si>
    <t>Thu, 04 Aug 2022 00:00:00 GMT</t>
  </si>
  <si>
    <t>Wed, 03 Aug 2022 00:00:00 GMT</t>
  </si>
  <si>
    <t>Tue, 02 Aug 2022 00:00:00 GMT</t>
  </si>
  <si>
    <t>Mon, 01 Aug 2022 00:00:00 GMT</t>
  </si>
  <si>
    <t>Fri, 29 Jul 2022 00:00:00 GMT</t>
  </si>
  <si>
    <t>Thu, 28 Jul 2022 00:00:00 GMT</t>
  </si>
  <si>
    <t>Wed, 27 Jul 2022 00:00:00 GMT</t>
  </si>
  <si>
    <t>Tue, 26 Jul 2022 00:00:00 GMT</t>
  </si>
  <si>
    <t>Mon, 25 Jul 2022 00:00:00 GMT</t>
  </si>
  <si>
    <t>Fri, 22 Jul 2022 00:00:00 GMT</t>
  </si>
  <si>
    <t>Thu, 21 Jul 2022 00:00:00 GMT</t>
  </si>
  <si>
    <t>Wed, 20 Jul 2022 00:00:00 GMT</t>
  </si>
  <si>
    <t>Tue, 19 Jul 2022 00:00:00 GMT</t>
  </si>
  <si>
    <t>Mon, 18 Jul 2022 00:00:00 GMT</t>
  </si>
  <si>
    <t>Fri, 15 Jul 2022 00:00:00 GMT</t>
  </si>
  <si>
    <t>Thu, 14 Jul 2022 00:00:00 GMT</t>
  </si>
  <si>
    <t>Wed, 13 Jul 2022 00:00:00 GMT</t>
  </si>
  <si>
    <t>Tue, 12 Jul 2022 00:00:00 GMT</t>
  </si>
  <si>
    <t>Mon, 11 Jul 2022 00:00:00 GMT</t>
  </si>
  <si>
    <t>Fri, 08 Jul 2022 00:00:00 GMT</t>
  </si>
  <si>
    <t>Thu, 07 Jul 2022 00:00:00 GMT</t>
  </si>
  <si>
    <t>Wed, 06 Jul 2022 00:00:00 GMT</t>
  </si>
  <si>
    <t>Tue, 05 Jul 2022 00:00:00 GMT</t>
  </si>
  <si>
    <t>Fri, 01 Jul 2022 00:00:00 GMT</t>
  </si>
  <si>
    <t>Thu, 30 Jun 2022 00:00:00 GMT</t>
  </si>
  <si>
    <t>Wed, 29 Jun 2022 00:00:00 GMT</t>
  </si>
  <si>
    <t>Tue, 28 Jun 2022 00:00:00 GMT</t>
  </si>
  <si>
    <t>Mon, 27 Jun 2022 00:00:00 GMT</t>
  </si>
  <si>
    <t>Fri, 24 Jun 2022 00:00:00 GMT</t>
  </si>
  <si>
    <t>Thu, 23 Jun 2022 00:00:00 GMT</t>
  </si>
  <si>
    <t>Wed, 22 Jun 2022 00:00:00 GMT</t>
  </si>
  <si>
    <t>Tue, 21 Jun 2022 00:00:00 GMT</t>
  </si>
  <si>
    <t>Fri, 17 Jun 2022 00:00:00 GMT</t>
  </si>
  <si>
    <t>Thu, 16 Jun 2022 00:00:00 GMT</t>
  </si>
  <si>
    <t>Wed, 15 Jun 2022 00:00:00 GMT</t>
  </si>
  <si>
    <t>Tue, 14 Jun 2022 00:00:00 GMT</t>
  </si>
  <si>
    <t>Mon, 13 Jun 2022 00:00:00 GMT</t>
  </si>
  <si>
    <t>Fri, 10 Jun 2022 00:00:00 GMT</t>
  </si>
  <si>
    <t>Thu, 09 Jun 2022 00:00:00 GMT</t>
  </si>
  <si>
    <t>Wed, 08 Jun 2022 00:00:00 GMT</t>
  </si>
  <si>
    <t>Tue, 07 Jun 2022 00:00:00 GMT</t>
  </si>
  <si>
    <t>Mon, 06 Jun 2022 00:00:00 GMT</t>
  </si>
  <si>
    <t>Fri, 03 Jun 2022 00:00:00 GMT</t>
  </si>
  <si>
    <t>Thu, 02 Jun 2022 00:00:00 GMT</t>
  </si>
  <si>
    <t>Wed, 01 Jun 2022 00:00:00 GMT</t>
  </si>
  <si>
    <t>Tue, 31 May 2022 00:00:00 GMT</t>
  </si>
  <si>
    <t>Fri, 27 May 2022 00:00:00 GMT</t>
  </si>
  <si>
    <t>Thu, 26 May 2022 00:00:00 GMT</t>
  </si>
  <si>
    <t>Wed, 25 May 2022 00:00:00 GMT</t>
  </si>
  <si>
    <t>Tue, 24 May 2022 00:00:00 GMT</t>
  </si>
  <si>
    <t>Mon, 23 May 2022 00:00:00 GMT</t>
  </si>
  <si>
    <t>Fri, 20 May 2022 00:00:00 GMT</t>
  </si>
  <si>
    <t>Thu, 19 May 2022 00:00:00 GMT</t>
  </si>
  <si>
    <t>Wed, 18 May 2022 00:00:00 GMT</t>
  </si>
  <si>
    <t>Tue, 17 May 2022 00:00:00 GMT</t>
  </si>
  <si>
    <t>Mon, 16 May 2022 00:00:00 GMT</t>
  </si>
  <si>
    <t>Fri, 13 May 2022 00:00:00 GMT</t>
  </si>
  <si>
    <t>Thu, 12 May 2022 00:00:00 GMT</t>
  </si>
  <si>
    <t>Wed, 11 May 2022 00:00:00 GMT</t>
  </si>
  <si>
    <t>Tue, 10 May 2022 00:00:00 GMT</t>
  </si>
  <si>
    <t>Mon, 09 May 2022 00:00:00 GMT</t>
  </si>
  <si>
    <t>Fri, 06 May 2022 00:00:00 GMT</t>
  </si>
  <si>
    <t>Thu, 05 May 2022 00:00:00 GMT</t>
  </si>
  <si>
    <t>Wed, 04 May 2022 00:00:00 GMT</t>
  </si>
  <si>
    <t>Tue, 03 May 2022 00:00:00 GMT</t>
  </si>
  <si>
    <t>Mon, 02 May 2022 00:00:00 GMT</t>
  </si>
  <si>
    <t>Fri, 29 Apr 2022 00:00:00 GMT</t>
  </si>
  <si>
    <t>Thu, 28 Apr 2022 00:00:00 GMT</t>
  </si>
  <si>
    <t>Wed, 27 Apr 2022 00:00:00 GMT</t>
  </si>
  <si>
    <t>Tue, 26 Apr 2022 00:00:00 GMT</t>
  </si>
  <si>
    <t>Mon, 25 Apr 2022 00:00:00 GMT</t>
  </si>
  <si>
    <t>Fri, 22 Apr 2022 00:00:00 GMT</t>
  </si>
  <si>
    <t>Thu, 21 Apr 2022 00:00:00 GMT</t>
  </si>
  <si>
    <t>Wed, 20 Apr 2022 00:00:00 GMT</t>
  </si>
  <si>
    <t>Tue, 19 Apr 2022 00:00:00 GMT</t>
  </si>
  <si>
    <t>Mon, 18 Apr 2022 00:00:00 GMT</t>
  </si>
  <si>
    <t>Thu, 14 Apr 2022 00:00:00 GMT</t>
  </si>
  <si>
    <t>Wed, 13 Apr 2022 00:00:00 GMT</t>
  </si>
  <si>
    <t>Tue, 12 Apr 2022 00:00:00 GMT</t>
  </si>
  <si>
    <t>Mon, 11 Apr 2022 00:00:00 GMT</t>
  </si>
  <si>
    <t>Fri, 08 Apr 2022 00:00:00 GMT</t>
  </si>
  <si>
    <t>Thu, 07 Apr 2022 00:00:00 GMT</t>
  </si>
  <si>
    <t>Wed, 06 Apr 2022 00:00:00 GMT</t>
  </si>
  <si>
    <t>Tue, 05 Apr 2022 00:00:00 GMT</t>
  </si>
  <si>
    <t>Mon, 04 Apr 2022 00:00:00 GMT</t>
  </si>
  <si>
    <t>Fri, 01 Apr 2022 00:00:00 GMT</t>
  </si>
  <si>
    <t>Thu, 31 Mar 2022 00:00:00 GMT</t>
  </si>
  <si>
    <t>Wed, 30 Mar 2022 00:00:00 GMT</t>
  </si>
  <si>
    <t>Tue, 29 Mar 2022 00:00:00 GMT</t>
  </si>
  <si>
    <t>Mon, 28 Mar 2022 00:00:00 GMT</t>
  </si>
  <si>
    <t>Fri, 25 Mar 2022 00:00:00 GMT</t>
  </si>
  <si>
    <t>Thu, 24 Mar 2022 00:00:00 GMT</t>
  </si>
  <si>
    <t>Wed, 23 Mar 2022 00:00:00 GMT</t>
  </si>
  <si>
    <t>Tue, 22 Mar 2022 00:00:00 GMT</t>
  </si>
  <si>
    <t>Mon, 21 Mar 2022 00:00:00 GMT</t>
  </si>
  <si>
    <t>Fri, 18 Mar 2022 00:00:00 GMT</t>
  </si>
  <si>
    <t>Thu, 17 Mar 2022 00:00:00 GMT</t>
  </si>
  <si>
    <t>Wed, 16 Mar 2022 00:00:00 GMT</t>
  </si>
  <si>
    <t>Tue, 15 Mar 2022 00:00:00 GMT</t>
  </si>
  <si>
    <t>Mon, 14 Mar 2022 00:00:00 GMT</t>
  </si>
  <si>
    <t>Fri, 11 Mar 2022 00:00:00 GMT</t>
  </si>
  <si>
    <t>Thu, 10 Mar 2022 00:00:00 GMT</t>
  </si>
  <si>
    <t>Wed, 09 Mar 2022 00:00:00 GMT</t>
  </si>
  <si>
    <t>Tue, 08 Mar 2022 00:00:00 GMT</t>
  </si>
  <si>
    <t>Mon, 07 Mar 2022 00:00:00 GMT</t>
  </si>
  <si>
    <t>Fri, 04 Mar 2022 00:00:00 GMT</t>
  </si>
  <si>
    <t>Thu, 03 Mar 2022 00:00:00 GMT</t>
  </si>
  <si>
    <t>Wed, 02 Mar 2022 00:00:00 GMT</t>
  </si>
  <si>
    <t>Tue, 01 Mar 2022 00:00:00 GMT</t>
  </si>
  <si>
    <t>Mon, 28 Feb 2022 00:00:00 GMT</t>
  </si>
  <si>
    <t>Fri, 25 Feb 2022 00:00:00 GMT</t>
  </si>
  <si>
    <t>Thu, 24 Feb 2022 00:00:00 GMT</t>
  </si>
  <si>
    <t>Wed, 23 Feb 2022 00:00:00 GMT</t>
  </si>
  <si>
    <t>Tue, 22 Feb 2022 00:00:00 GMT</t>
  </si>
  <si>
    <t>Fri, 18 Feb 2022 00:00:00 GMT</t>
  </si>
  <si>
    <t>Thu, 17 Feb 2022 00:00:00 GMT</t>
  </si>
  <si>
    <t>Wed, 16 Feb 2022 00:00:00 GMT</t>
  </si>
  <si>
    <t>Tue, 15 Feb 2022 00:00:00 GMT</t>
  </si>
  <si>
    <t>Mon, 14 Feb 2022 00:00:00 GMT</t>
  </si>
  <si>
    <t>Fri, 11 Feb 2022 00:00:00 GMT</t>
  </si>
  <si>
    <t>Thu, 10 Feb 2022 00:00:00 GMT</t>
  </si>
  <si>
    <t>Wed, 09 Feb 2022 00:00:00 GMT</t>
  </si>
  <si>
    <t>Tue, 08 Feb 2022 00:00:00 GMT</t>
  </si>
  <si>
    <t>Mon, 07 Feb 2022 00:00:00 GMT</t>
  </si>
  <si>
    <t>Fri, 04 Feb 2022 00:00:00 GMT</t>
  </si>
  <si>
    <t>Thu, 03 Feb 2022 00:00:00 GMT</t>
  </si>
  <si>
    <t>Wed, 02 Feb 2022 00:00:00 GMT</t>
  </si>
  <si>
    <t>Tue, 01 Feb 2022 00:00:00 GMT</t>
  </si>
  <si>
    <t>Mon, 31 Jan 2022 00:00:00 GMT</t>
  </si>
  <si>
    <t>Fri, 28 Jan 2022 00:00:00 GMT</t>
  </si>
  <si>
    <t>Thu, 27 Jan 2022 00:00:00 GMT</t>
  </si>
  <si>
    <t>Wed, 26 Jan 2022 00:00:00 GMT</t>
  </si>
  <si>
    <t>Tue, 25 Jan 2022 00:00:00 GMT</t>
  </si>
  <si>
    <t>Mon, 24 Jan 2022 00:00:00 GMT</t>
  </si>
  <si>
    <t>Fri, 21 Jan 2022 00:00:00 GMT</t>
  </si>
  <si>
    <t>Thu, 20 Jan 2022 00:00:00 GMT</t>
  </si>
  <si>
    <t>Wed, 19 Jan 2022 00:00:00 GMT</t>
  </si>
  <si>
    <t>Tue, 18 Jan 2022 00:00:00 GMT</t>
  </si>
  <si>
    <t>Fri, 14 Jan 2022 00:00:00 GMT</t>
  </si>
  <si>
    <t>Thu, 13 Jan 2022 00:00:00 GMT</t>
  </si>
  <si>
    <t>Wed, 12 Jan 2022 00:00:00 GMT</t>
  </si>
  <si>
    <t>Tue, 11 Jan 2022 00:00:00 GMT</t>
  </si>
  <si>
    <t>Mon, 10 Jan 2022 00:00:00 GMT</t>
  </si>
  <si>
    <t>Fri, 07 Jan 2022 00:00:00 GMT</t>
  </si>
  <si>
    <t>Thu, 06 Jan 2022 00:00:00 GMT</t>
  </si>
  <si>
    <t>Wed, 05 Jan 2022 00:00:00 GMT</t>
  </si>
  <si>
    <t>Tue, 04 Jan 2022 00:00:00 GMT</t>
  </si>
  <si>
    <t>Mon, 03 Jan 2022 00:00:00 GMT</t>
  </si>
  <si>
    <t>Fri, 31 Dec 2021 00:00:00 GMT</t>
  </si>
  <si>
    <t>Thu, 30 Dec 2021 00:00:00 GMT</t>
  </si>
  <si>
    <t>Wed, 29 Dec 2021 00:00:00 GMT</t>
  </si>
  <si>
    <t>Tue, 28 Dec 2021 00:00:00 GMT</t>
  </si>
  <si>
    <t>Mon, 27 Dec 2021 00:00:00 GMT</t>
  </si>
  <si>
    <t>Thu, 23 Dec 2021 00:00:00 GMT</t>
  </si>
  <si>
    <t>Wed, 22 Dec 2021 00:00:00 GMT</t>
  </si>
  <si>
    <t>Tue, 21 Dec 2021 00:00:00 GMT</t>
  </si>
  <si>
    <t>Mon, 20 Dec 2021 00:00:00 GMT</t>
  </si>
  <si>
    <t>Fri, 17 Dec 2021 00:00:00 GMT</t>
  </si>
  <si>
    <t>Thu, 16 Dec 2021 00:00:00 GMT</t>
  </si>
  <si>
    <t>Wed, 15 Dec 2021 00:00:00 GMT</t>
  </si>
  <si>
    <t>Tue, 14 Dec 2021 00:00:00 GMT</t>
  </si>
  <si>
    <t>Mon, 13 Dec 2021 00:00:00 GMT</t>
  </si>
  <si>
    <t>Fri, 10 Dec 2021 00:00:00 GMT</t>
  </si>
  <si>
    <t>Thu, 09 Dec 2021 00:00:00 GMT</t>
  </si>
  <si>
    <t>Wed, 08 Dec 2021 00:00:00 GMT</t>
  </si>
  <si>
    <t>Tue, 07 Dec 2021 00:00:00 GMT</t>
  </si>
  <si>
    <t>Mon, 06 Dec 2021 00:00:00 GMT</t>
  </si>
  <si>
    <t>Fri, 03 Dec 2021 00:00:00 GMT</t>
  </si>
  <si>
    <t>Thu, 02 Dec 2021 00:00:00 GMT</t>
  </si>
  <si>
    <t>Wed, 01 Dec 2021 00:00:00 GMT</t>
  </si>
  <si>
    <t>Tue, 30 Nov 2021 00:00:00 GMT</t>
  </si>
  <si>
    <t>Mon, 29 Nov 2021 00:00:00 GMT</t>
  </si>
  <si>
    <t>Fri, 26 Nov 2021 00:00:00 GMT</t>
  </si>
  <si>
    <t>Wed, 24 Nov 2021 00:00:00 GMT</t>
  </si>
  <si>
    <t>Tue, 23 Nov 2021 00:00:00 GMT</t>
  </si>
  <si>
    <t>Mon, 22 Nov 2021 00:00:00 GMT</t>
  </si>
  <si>
    <t>Fri, 19 Nov 2021 00:00:00 GMT</t>
  </si>
  <si>
    <t>Thu, 18 Nov 2021 00:00:00 GMT</t>
  </si>
  <si>
    <t>Wed, 17 Nov 2021 00:00:00 GMT</t>
  </si>
  <si>
    <t>Tue, 16 Nov 2021 00:00:00 GMT</t>
  </si>
  <si>
    <t>Mon, 15 Nov 2021 00:00:00 GMT</t>
  </si>
  <si>
    <t>Fri, 12 Nov 2021 00:00:00 GMT</t>
  </si>
  <si>
    <t>Thu, 11 Nov 2021 00:00:00 GMT</t>
  </si>
  <si>
    <t>Wed, 10 Nov 2021 00:00:00 GMT</t>
  </si>
  <si>
    <t>Tue, 09 Nov 2021 00:00:00 GMT</t>
  </si>
  <si>
    <t>Mon, 08 Nov 2021 00:00:00 GMT</t>
  </si>
  <si>
    <t>Fri, 05 Nov 2021 00:00:00 GMT</t>
  </si>
  <si>
    <t>Thu, 04 Nov 2021 00:00:00 GMT</t>
  </si>
  <si>
    <t>Wed, 03 Nov 2021 00:00:00 GMT</t>
  </si>
  <si>
    <t>Tue, 02 Nov 2021 00:00:00 GMT</t>
  </si>
  <si>
    <t>Mon, 01 Nov 2021 00:00:00 GMT</t>
  </si>
  <si>
    <t>Fri, 29 Oct 2021 00:00:00 GMT</t>
  </si>
  <si>
    <t>Thu, 28 Oct 2021 00:00:00 GMT</t>
  </si>
  <si>
    <t>Wed, 27 Oct 2021 00:00:00 GMT</t>
  </si>
  <si>
    <t>Tue, 26 Oct 2021 00:00:00 GMT</t>
  </si>
  <si>
    <t>Mon, 25 Oct 2021 00:00:00 GMT</t>
  </si>
  <si>
    <t>Fri, 22 Oct 2021 00:00:00 GMT</t>
  </si>
  <si>
    <t>Thu, 21 Oct 2021 00:00:00 GMT</t>
  </si>
  <si>
    <t>Wed, 20 Oct 2021 00:00:00 GMT</t>
  </si>
  <si>
    <t>Tue, 19 Oct 2021 00:00:00 GMT</t>
  </si>
  <si>
    <t>Mon, 18 Oct 2021 00:00:00 GMT</t>
  </si>
  <si>
    <t>Fri, 15 Oct 2021 00:00:00 GMT</t>
  </si>
  <si>
    <t>Thu, 14 Oct 2021 00:00:00 GMT</t>
  </si>
  <si>
    <t>Wed, 13 Oct 2021 00:00:00 GMT</t>
  </si>
  <si>
    <t>Tue, 12 Oct 2021 00:00:00 GMT</t>
  </si>
  <si>
    <t>Mon, 11 Oct 2021 00:00:00 GMT</t>
  </si>
  <si>
    <t>Fri, 08 Oct 2021 00:00:00 GMT</t>
  </si>
  <si>
    <t>Thu, 07 Oct 2021 00:00:00 GMT</t>
  </si>
  <si>
    <t>Wed, 06 Oct 2021 00:00:00 GMT</t>
  </si>
  <si>
    <t>Tue, 05 Oct 2021 00:00:00 GMT</t>
  </si>
  <si>
    <t>Mon, 04 Oct 2021 00:00:00 GMT</t>
  </si>
  <si>
    <t>Fri, 01 Oct 2021 00:00:00 GMT</t>
  </si>
  <si>
    <t>Thu, 30 Sep 2021 00:00:00 GMT</t>
  </si>
  <si>
    <t>Wed, 29 Sep 2021 00:00:00 GMT</t>
  </si>
  <si>
    <t>Tue, 28 Sep 2021 00:00:00 GMT</t>
  </si>
  <si>
    <t>Mon, 27 Sep 2021 00:00:00 GMT</t>
  </si>
  <si>
    <t>Fri, 24 Sep 2021 00:00:00 GMT</t>
  </si>
  <si>
    <t>Thu, 23 Sep 2021 00:00:00 GMT</t>
  </si>
  <si>
    <t>Wed, 22 Sep 2021 00:00:00 GMT</t>
  </si>
  <si>
    <t>Tue, 21 Sep 2021 00:00:00 GMT</t>
  </si>
  <si>
    <t>Mon, 20 Sep 2021 00:00:00 GMT</t>
  </si>
  <si>
    <t>Fri, 17 Sep 2021 00:00:00 GMT</t>
  </si>
  <si>
    <t>Thu, 16 Sep 2021 00:00:00 GMT</t>
  </si>
  <si>
    <t>Wed, 15 Sep 2021 00:00:00 GMT</t>
  </si>
  <si>
    <t>Tue, 14 Sep 2021 00:00:00 GMT</t>
  </si>
  <si>
    <t>Mon, 13 Sep 2021 00:00:00 GMT</t>
  </si>
  <si>
    <t>Fri, 10 Sep 2021 00:00:00 GMT</t>
  </si>
  <si>
    <t>Thu, 09 Sep 2021 00:00:00 GMT</t>
  </si>
  <si>
    <t>Wed, 08 Sep 2021 00:00:00 GMT</t>
  </si>
  <si>
    <t>Tue, 07 Sep 2021 00:00:00 GMT</t>
  </si>
  <si>
    <t>Fri, 03 Sep 2021 00:00:00 GMT</t>
  </si>
  <si>
    <t>Thu, 02 Sep 2021 00:00:00 GMT</t>
  </si>
  <si>
    <t>Wed, 01 Sep 2021 00:00:00 GMT</t>
  </si>
  <si>
    <t>Tue, 31 Aug 2021 00:00:00 GMT</t>
  </si>
  <si>
    <t>Mon, 30 Aug 2021 00:00:00 GMT</t>
  </si>
  <si>
    <t>Fri, 27 Aug 2021 00:00:00 GMT</t>
  </si>
  <si>
    <t>Thu, 26 Aug 2021 00:00:00 GMT</t>
  </si>
  <si>
    <t>Wed, 25 Aug 2021 00:00:00 GMT</t>
  </si>
  <si>
    <t>Tue, 24 Aug 2021 00:00:00 GMT</t>
  </si>
  <si>
    <t>Mon, 23 Aug 2021 00:00:00 GMT</t>
  </si>
  <si>
    <t>Fri, 20 Aug 2021 00:00:00 GMT</t>
  </si>
  <si>
    <t>Thu, 19 Aug 2021 00:00:00 GMT</t>
  </si>
  <si>
    <t>Wed, 18 Aug 2021 00:00:00 GMT</t>
  </si>
  <si>
    <t>Tue, 17 Aug 2021 00:00:00 GMT</t>
  </si>
  <si>
    <t>Mon, 16 Aug 2021 00:00:00 GMT</t>
  </si>
  <si>
    <t>Fri, 13 Aug 2021 00:00:00 GMT</t>
  </si>
  <si>
    <t>Thu, 12 Aug 2021 00:00:00 GMT</t>
  </si>
  <si>
    <t>Wed, 11 Aug 2021 00:00:00 GMT</t>
  </si>
  <si>
    <t>Tue, 10 Aug 2021 00:00:00 GMT</t>
  </si>
  <si>
    <t>Mon, 09 Aug 2021 00:00:00 GMT</t>
  </si>
  <si>
    <t>Fri, 06 Aug 2021 00:00:00 GMT</t>
  </si>
  <si>
    <t>Thu, 05 Aug 2021 00:00:00 GMT</t>
  </si>
  <si>
    <t>Wed, 04 Aug 2021 00:00:00 GMT</t>
  </si>
  <si>
    <t>Tue, 03 Aug 2021 00:00:00 GMT</t>
  </si>
  <si>
    <t>Mon, 02 Aug 2021 00:00:00 GMT</t>
  </si>
  <si>
    <t>Fri, 30 Jul 2021 00:00:00 GMT</t>
  </si>
  <si>
    <t>Thu, 29 Jul 2021 00:00:00 GMT</t>
  </si>
  <si>
    <t>Wed, 28 Jul 2021 00:00:00 GMT</t>
  </si>
  <si>
    <t>Tue, 27 Jul 2021 00:00:00 GMT</t>
  </si>
  <si>
    <t>Mon, 26 Jul 2021 00:00:00 GMT</t>
  </si>
  <si>
    <t>Fri, 23 Jul 2021 00:00:00 GMT</t>
  </si>
  <si>
    <t>Thu, 22 Jul 2021 00:00:00 GMT</t>
  </si>
  <si>
    <t>Wed, 21 Jul 2021 00:00:00 GMT</t>
  </si>
  <si>
    <t>Tue, 20 Jul 2021 00:00:00 GMT</t>
  </si>
  <si>
    <t>Mon, 19 Jul 2021 00:00:00 GMT</t>
  </si>
  <si>
    <t>Fri, 16 Jul 2021 00:00:00 GMT</t>
  </si>
  <si>
    <t>Thu, 15 Jul 2021 00:00:00 GMT</t>
  </si>
  <si>
    <t>Wed, 14 Jul 2021 00:00:00 GMT</t>
  </si>
  <si>
    <t>Tue, 13 Jul 2021 00:00:00 GMT</t>
  </si>
  <si>
    <t>Mon, 12 Jul 2021 00:00:00 GMT</t>
  </si>
  <si>
    <t>Fri, 09 Jul 2021 00:00:00 GMT</t>
  </si>
  <si>
    <t>Thu, 08 Jul 2021 00:00:00 GMT</t>
  </si>
  <si>
    <t>Wed, 07 Jul 2021 00:00:00 GMT</t>
  </si>
  <si>
    <t>Tue, 06 Jul 2021 00:00:00 GMT</t>
  </si>
  <si>
    <t>Fri, 02 Jul 2021 00:00:00 GMT</t>
  </si>
  <si>
    <t>Thu, 01 Jul 2021 00:00:00 GMT</t>
  </si>
  <si>
    <t>Wed, 30 Jun 2021 00:00:00 GMT</t>
  </si>
  <si>
    <t>Tue, 29 Jun 2021 00:00:00 GMT</t>
  </si>
  <si>
    <t>Mon, 28 Jun 2021 00:00:00 GMT</t>
  </si>
  <si>
    <t>Fri, 25 Jun 2021 00:00:00 GMT</t>
  </si>
  <si>
    <t>Thu, 24 Jun 2021 00:00:00 GMT</t>
  </si>
  <si>
    <t>Wed, 23 Jun 2021 00:00:00 GMT</t>
  </si>
  <si>
    <t>Tue, 22 Jun 2021 00:00:00 GMT</t>
  </si>
  <si>
    <t>Mon, 21 Jun 2021 00:00:00 GMT</t>
  </si>
  <si>
    <t>Fri, 18 Jun 2021 00:00:00 GMT</t>
  </si>
  <si>
    <t>Thu, 17 Jun 2021 00:00:00 GMT</t>
  </si>
  <si>
    <t>Wed, 16 Jun 2021 00:00:00 GMT</t>
  </si>
  <si>
    <t>Tue, 15 Jun 2021 00:00:00 GMT</t>
  </si>
  <si>
    <t>Mon, 14 Jun 2021 00:00:00 GMT</t>
  </si>
  <si>
    <t>Fri, 11 Jun 2021 00:00:00 GMT</t>
  </si>
  <si>
    <t>Thu, 10 Jun 2021 00:00:00 GMT</t>
  </si>
  <si>
    <t>Wed, 09 Jun 2021 00:00:00 GMT</t>
  </si>
  <si>
    <t>Tue, 08 Jun 2021 00:00:00 GMT</t>
  </si>
  <si>
    <t>Mon, 07 Jun 2021 00:00:00 GMT</t>
  </si>
  <si>
    <t>Fri, 04 Jun 2021 00:00:00 GMT</t>
  </si>
  <si>
    <t>Thu, 03 Jun 2021 00:00:00 GMT</t>
  </si>
  <si>
    <t>Wed, 02 Jun 2021 00:00:00 GMT</t>
  </si>
  <si>
    <t>Tue, 01 Jun 2021 00:00:00 GMT</t>
  </si>
  <si>
    <t>Fri, 28 May 2021 00:00:00 GMT</t>
  </si>
  <si>
    <t>Thu, 27 May 2021 00:00:00 GMT</t>
  </si>
  <si>
    <t>Wed, 26 May 2021 00:00:00 GMT</t>
  </si>
  <si>
    <t>Tue, 25 May 2021 00:00:00 GMT</t>
  </si>
  <si>
    <t>Mon, 24 May 2021 00:00:00 GMT</t>
  </si>
  <si>
    <t>Fri, 21 May 2021 00:00:00 GMT</t>
  </si>
  <si>
    <t>Thu, 20 May 2021 00:00:00 GMT</t>
  </si>
  <si>
    <t>Wed, 19 May 2021 00:00:00 GMT</t>
  </si>
  <si>
    <t>Tue, 18 May 2021 00:00:00 GMT</t>
  </si>
  <si>
    <t>Mon, 17 May 2021 00:00:00 GMT</t>
  </si>
  <si>
    <t>Fri, 14 May 2021 00:00:00 GMT</t>
  </si>
  <si>
    <t>Thu, 13 May 2021 00:00:00 GMT</t>
  </si>
  <si>
    <t>Wed, 12 May 2021 00:00:00 GMT</t>
  </si>
  <si>
    <t>Tue, 11 May 2021 00:00:00 GMT</t>
  </si>
  <si>
    <t>Mon, 10 May 2021 00:00:00 GMT</t>
  </si>
  <si>
    <t>Fri, 07 May 2021 00:00:00 GMT</t>
  </si>
  <si>
    <t>Thu, 06 May 2021 00:00:00 GMT</t>
  </si>
  <si>
    <t>Wed, 05 May 2021 00:00:00 GMT</t>
  </si>
  <si>
    <t>Tue, 04 May 2021 00:00:00 GMT</t>
  </si>
  <si>
    <t>Mon, 03 May 2021 00:00:00 GMT</t>
  </si>
  <si>
    <t>Fri, 30 Apr 2021 00:00:00 GMT</t>
  </si>
  <si>
    <t>Thu, 29 Apr 2021 00:00:00 GMT</t>
  </si>
  <si>
    <t>Wed, 28 Apr 2021 00:00:00 GMT</t>
  </si>
  <si>
    <t>Tue, 27 Apr 2021 00:00:00 GMT</t>
  </si>
  <si>
    <t>Mon, 26 Apr 2021 00:00:00 GMT</t>
  </si>
  <si>
    <t>Fri, 23 Apr 2021 00:00:00 GMT</t>
  </si>
  <si>
    <t>Thu, 22 Apr 2021 00:00:00 GMT</t>
  </si>
  <si>
    <t>Wed, 21 Apr 2021 00:00:00 GMT</t>
  </si>
  <si>
    <t>Tue, 20 Apr 2021 00:00:00 GMT</t>
  </si>
  <si>
    <t>Mon, 19 Apr 2021 00:00:00 GMT</t>
  </si>
  <si>
    <t>Fri, 16 Apr 2021 00:00:00 GMT</t>
  </si>
  <si>
    <t>Thu, 15 Apr 2021 00:00:00 GMT</t>
  </si>
  <si>
    <t>Wed, 14 Apr 2021 00:00:00 GMT</t>
  </si>
  <si>
    <t>Tue, 13 Apr 2021 00:00:00 GMT</t>
  </si>
  <si>
    <t>Mon, 12 Apr 2021 00:00:00 GMT</t>
  </si>
  <si>
    <t>Fri, 09 Apr 2021 00:00:00 GMT</t>
  </si>
  <si>
    <t>Thu, 08 Apr 2021 00:00:00 GMT</t>
  </si>
  <si>
    <t>Wed, 07 Apr 2021 00:00:00 GMT</t>
  </si>
  <si>
    <t>Tue, 06 Apr 2021 00:00:00 GMT</t>
  </si>
  <si>
    <t>Mon, 05 Apr 2021 00:00:00 GMT</t>
  </si>
  <si>
    <t>Thu, 01 Apr 2021 00:00:00 GMT</t>
  </si>
  <si>
    <t>Wed, 31 Mar 2021 00:00:00 GMT</t>
  </si>
  <si>
    <t>Tue, 30 Mar 2021 00:00:00 GMT</t>
  </si>
  <si>
    <t>Mon, 29 Mar 2021 00:00:00 GMT</t>
  </si>
  <si>
    <t>Fri, 26 Mar 2021 00:00:00 GMT</t>
  </si>
  <si>
    <t>Thu, 25 Mar 2021 00:00:00 GMT</t>
  </si>
  <si>
    <t>Wed, 24 Mar 2021 00:00:00 GMT</t>
  </si>
  <si>
    <t>Tue, 23 Mar 2021 00:00:00 GMT</t>
  </si>
  <si>
    <t>Mon, 22 Mar 2021 00:00:00 GMT</t>
  </si>
  <si>
    <t>Fri, 19 Mar 2021 00:00:00 GMT</t>
  </si>
  <si>
    <t>Thu, 18 Mar 2021 00:00:00 GMT</t>
  </si>
  <si>
    <t>Wed, 17 Mar 2021 00:00:00 GMT</t>
  </si>
  <si>
    <t>Tue, 16 Mar 2021 00:00:00 GMT</t>
  </si>
  <si>
    <t>Mon, 15 Mar 2021 00:00:00 GMT</t>
  </si>
  <si>
    <t>Fri, 12 Mar 2021 00:00:00 GMT</t>
  </si>
  <si>
    <t>Thu, 11 Mar 2021 00:00:00 GMT</t>
  </si>
  <si>
    <t>Wed, 10 Mar 2021 00:00:00 GMT</t>
  </si>
  <si>
    <t>Tue, 09 Mar 2021 00:00:00 GMT</t>
  </si>
  <si>
    <t>Mon, 08 Mar 2021 00:00:00 GMT</t>
  </si>
  <si>
    <t>Fri, 05 Mar 2021 00:00:00 GMT</t>
  </si>
  <si>
    <t>Thu, 04 Mar 2021 00:00:00 GMT</t>
  </si>
  <si>
    <t>Wed, 03 Mar 2021 00:00:00 GMT</t>
  </si>
  <si>
    <t>Tue, 02 Mar 2021 00:00:00 GMT</t>
  </si>
  <si>
    <t>Mon, 01 Mar 2021 00:00:00 GMT</t>
  </si>
  <si>
    <t>Fri, 26 Feb 2021 00:00:00 GMT</t>
  </si>
  <si>
    <t>Thu, 25 Feb 2021 00:00:00 GMT</t>
  </si>
  <si>
    <t>Wed, 24 Feb 2021 00:00:00 GMT</t>
  </si>
  <si>
    <t>Tue, 23 Feb 2021 00:00:00 GMT</t>
  </si>
  <si>
    <t>Mon, 22 Feb 2021 00:00:00 GMT</t>
  </si>
  <si>
    <t>Fri, 19 Feb 2021 00:00:00 GMT</t>
  </si>
  <si>
    <t>Thu, 18 Feb 2021 00:00:00 GMT</t>
  </si>
  <si>
    <t>Wed, 17 Feb 2021 00:00:00 GMT</t>
  </si>
  <si>
    <t>Tue, 16 Feb 2021 00:00:00 GMT</t>
  </si>
  <si>
    <t>Fri, 12 Feb 2021 00:00:00 GMT</t>
  </si>
  <si>
    <t>Thu, 11 Feb 2021 00:00:00 GMT</t>
  </si>
  <si>
    <t>Wed, 10 Feb 2021 00:00:00 GMT</t>
  </si>
  <si>
    <t>Tue, 09 Feb 2021 00:00:00 GMT</t>
  </si>
  <si>
    <t>Mon, 08 Feb 2021 00:00:00 GMT</t>
  </si>
  <si>
    <t>Fri, 05 Feb 2021 00:00:00 GMT</t>
  </si>
  <si>
    <t>Thu, 04 Feb 2021 00:00:00 GMT</t>
  </si>
  <si>
    <t>Wed, 03 Feb 2021 00:00:00 GMT</t>
  </si>
  <si>
    <t>Tue, 02 Feb 2021 00:00:00 GMT</t>
  </si>
  <si>
    <t>Mon, 01 Feb 2021 00:00:00 GMT</t>
  </si>
  <si>
    <t>Fri, 29 Jan 2021 00:00:00 GMT</t>
  </si>
  <si>
    <t>Thu, 28 Jan 2021 00:00:00 GMT</t>
  </si>
  <si>
    <t>Wed, 27 Jan 2021 00:00:00 GMT</t>
  </si>
  <si>
    <t>Tue, 26 Jan 2021 00:00:00 GMT</t>
  </si>
  <si>
    <t>Mon, 25 Jan 2021 00:00:00 GMT</t>
  </si>
  <si>
    <t>Fri, 22 Jan 2021 00:00:00 GMT</t>
  </si>
  <si>
    <t>Thu, 21 Jan 2021 00:00:00 GMT</t>
  </si>
  <si>
    <t>Wed, 20 Jan 2021 00:00:00 GMT</t>
  </si>
  <si>
    <t>Tue, 19 Jan 2021 00:00:00 GMT</t>
  </si>
  <si>
    <t>Fri, 15 Jan 2021 00:00:00 GMT</t>
  </si>
  <si>
    <t>Thu, 14 Jan 2021 00:00:00 GMT</t>
  </si>
  <si>
    <t>Wed, 13 Jan 2021 00:00:00 GMT</t>
  </si>
  <si>
    <t>Tue, 12 Jan 2021 00:00:00 GMT</t>
  </si>
  <si>
    <t>Mon, 11 Jan 2021 00:00:00 GMT</t>
  </si>
  <si>
    <t>Fri, 08 Jan 2021 00:00:00 GMT</t>
  </si>
  <si>
    <t>Thu, 07 Jan 2021 00:00:00 GMT</t>
  </si>
  <si>
    <t>Wed, 06 Jan 2021 00:00:00 GMT</t>
  </si>
  <si>
    <t>Tue, 05 Jan 2021 00:00:00 GMT</t>
  </si>
  <si>
    <t>Mon, 04 Jan 2021 00:00:00 GMT</t>
  </si>
  <si>
    <t>Thu, 31 Dec 2020 00:00:00 GMT</t>
  </si>
  <si>
    <t>Wed, 30 Dec 2020 00:00:00 GMT</t>
  </si>
  <si>
    <t>Tue, 29 Dec 2020 00:00:00 GMT</t>
  </si>
  <si>
    <t>Mon, 28 Dec 2020 00:00:00 GMT</t>
  </si>
  <si>
    <t>Thu, 24 Dec 2020 00:00:00 GMT</t>
  </si>
  <si>
    <t>Wed, 23 Dec 2020 00:00:00 GMT</t>
  </si>
  <si>
    <t>Tue, 22 Dec 2020 00:00:00 GMT</t>
  </si>
  <si>
    <t>Mon, 21 Dec 2020 00:00:00 GMT</t>
  </si>
  <si>
    <t>Fri, 18 Dec 2020 00:00:00 GMT</t>
  </si>
  <si>
    <t>Thu, 17 Dec 2020 00:00:00 GMT</t>
  </si>
  <si>
    <t>Wed, 16 Dec 2020 00:00:00 GMT</t>
  </si>
  <si>
    <t>Tue, 15 Dec 2020 00:00:00 GMT</t>
  </si>
  <si>
    <t>Mon, 14 Dec 2020 00:00:00 GMT</t>
  </si>
  <si>
    <t>Fri, 11 Dec 2020 00:00:00 GMT</t>
  </si>
  <si>
    <t>Thu, 10 Dec 2020 00:00:00 GMT</t>
  </si>
  <si>
    <t>Wed, 09 Dec 2020 00:00:00 GMT</t>
  </si>
  <si>
    <t>Tue, 08 Dec 2020 00:00:00 GMT</t>
  </si>
  <si>
    <t>Mon, 07 Dec 2020 00:00:00 GMT</t>
  </si>
  <si>
    <t>Fri, 04 Dec 2020 00:00:00 GMT</t>
  </si>
  <si>
    <t>Thu, 03 Dec 2020 00:00:00 GMT</t>
  </si>
  <si>
    <t>Wed, 02 Dec 2020 00:00:00 GMT</t>
  </si>
  <si>
    <t>Tue, 01 Dec 2020 00:00:00 GMT</t>
  </si>
  <si>
    <t>Mon, 30 Nov 2020 00:00:00 GMT</t>
  </si>
  <si>
    <t>Fri, 27 Nov 2020 00:00:00 GMT</t>
  </si>
  <si>
    <t>Wed, 25 Nov 2020 00:00:00 GMT</t>
  </si>
  <si>
    <t>Tue, 24 Nov 2020 00:00:00 GMT</t>
  </si>
  <si>
    <t>Mon, 23 Nov 2020 00:00:00 GMT</t>
  </si>
  <si>
    <t>Fri, 20 Nov 2020 00:00:00 GMT</t>
  </si>
  <si>
    <t>Thu, 19 Nov 2020 00:00:00 GMT</t>
  </si>
  <si>
    <t>Wed, 18 Nov 2020 00:00:00 GMT</t>
  </si>
  <si>
    <t>Tue, 17 Nov 2020 00:00:00 GMT</t>
  </si>
  <si>
    <t>Mon, 16 Nov 2020 00:00:00 GMT</t>
  </si>
  <si>
    <t>Fri, 13 Nov 2020 00:00:00 GMT</t>
  </si>
  <si>
    <t>Thu, 12 Nov 2020 00:00:00 GMT</t>
  </si>
  <si>
    <t>Wed, 11 Nov 2020 00:00:00 GMT</t>
  </si>
  <si>
    <t>Tue, 10 Nov 2020 00:00:00 GMT</t>
  </si>
  <si>
    <t>Mon, 09 Nov 2020 00:00:00 GMT</t>
  </si>
  <si>
    <t>Fri, 06 Nov 2020 00:00:00 GMT</t>
  </si>
  <si>
    <t>Thu, 05 Nov 2020 00:00:00 GMT</t>
  </si>
  <si>
    <t>Wed, 04 Nov 2020 00:00:00 GMT</t>
  </si>
  <si>
    <t>Tue, 03 Nov 2020 00:00:00 GMT</t>
  </si>
  <si>
    <t>Mon, 02 Nov 2020 00:00:00 GMT</t>
  </si>
  <si>
    <t>Fri, 30 Oct 2020 00:00:00 GMT</t>
  </si>
  <si>
    <t>Thu, 29 Oct 2020 00:00:00 GMT</t>
  </si>
  <si>
    <t>Wed, 28 Oct 2020 00:00:00 GMT</t>
  </si>
  <si>
    <t>Tue, 27 Oct 2020 00:00:00 GMT</t>
  </si>
  <si>
    <t>Mon, 26 Oct 2020 00:00:00 GMT</t>
  </si>
  <si>
    <t>Fri, 23 Oct 2020 00:00:00 GMT</t>
  </si>
  <si>
    <t>Thu, 22 Oct 2020 00:00:00 GMT</t>
  </si>
  <si>
    <t>Wed, 21 Oct 2020 00:00:00 GMT</t>
  </si>
  <si>
    <t>Tue, 20 Oct 2020 00:00:00 GMT</t>
  </si>
  <si>
    <t>Mon, 19 Oct 2020 00:00:00 GMT</t>
  </si>
  <si>
    <t>Fri, 16 Oct 2020 00:00:00 GMT</t>
  </si>
  <si>
    <t>Thu, 15 Oct 2020 00:00:00 GMT</t>
  </si>
  <si>
    <t>Wed, 14 Oct 2020 00:00:00 GMT</t>
  </si>
  <si>
    <t>Tue, 13 Oct 2020 00:00:00 GMT</t>
  </si>
  <si>
    <t>Mon, 12 Oct 2020 00:00:00 GMT</t>
  </si>
  <si>
    <t>Fri, 09 Oct 2020 00:00:00 GMT</t>
  </si>
  <si>
    <t>Thu, 08 Oct 2020 00:00:00 GMT</t>
  </si>
  <si>
    <t>Wed, 07 Oct 2020 00:00:00 GMT</t>
  </si>
  <si>
    <t>Tue, 06 Oct 2020 00:00:00 GMT</t>
  </si>
  <si>
    <t>Mon, 05 Oct 2020 00:00:00 GMT</t>
  </si>
  <si>
    <t>Fri, 02 Oct 2020 00:00:00 GMT</t>
  </si>
  <si>
    <t>Thu, 01 Oct 2020 00:00:00 GMT</t>
  </si>
  <si>
    <t>Wed, 30 Sep 2020 00:00:00 GMT</t>
  </si>
  <si>
    <t>Tue, 29 Sep 2020 00:00:00 GMT</t>
  </si>
  <si>
    <t>Mon, 28 Sep 2020 00:00:00 GMT</t>
  </si>
  <si>
    <t>Fri, 25 Sep 2020 00:00:00 GMT</t>
  </si>
  <si>
    <t>Thu, 24 Sep 2020 00:00:00 GMT</t>
  </si>
  <si>
    <t>Wed, 23 Sep 2020 00:00:00 GMT</t>
  </si>
  <si>
    <t>Tue, 22 Sep 2020 00:00:00 GMT</t>
  </si>
  <si>
    <t>Mon, 21 Sep 2020 00:00:00 GMT</t>
  </si>
  <si>
    <t>Fri, 18 Sep 2020 00:00:00 GMT</t>
  </si>
  <si>
    <t>Thu, 17 Sep 2020 00:00:00 GMT</t>
  </si>
  <si>
    <t>Wed, 16 Sep 2020 00:00:00 GMT</t>
  </si>
  <si>
    <t>Tue, 15 Sep 2020 00:00:00 GMT</t>
  </si>
  <si>
    <t>Mon, 14 Sep 2020 00:00:00 GMT</t>
  </si>
  <si>
    <t>Fri, 11 Sep 2020 00:00:00 GMT</t>
  </si>
  <si>
    <t>Thu, 10 Sep 2020 00:00:00 GMT</t>
  </si>
  <si>
    <t>Wed, 09 Sep 2020 00:00:00 GMT</t>
  </si>
  <si>
    <t>Tue, 08 Sep 2020 00:00:00 GMT</t>
  </si>
  <si>
    <t>Fri, 04 Sep 2020 00:00:00 GMT</t>
  </si>
  <si>
    <t>Thu, 03 Sep 2020 00:00:00 GMT</t>
  </si>
  <si>
    <t>Wed, 02 Sep 2020 00:00:00 GMT</t>
  </si>
  <si>
    <t>Tue, 01 Sep 2020 00:00:00 GMT</t>
  </si>
  <si>
    <t>Mon, 31 Aug 2020 00:00:00 GMT</t>
  </si>
  <si>
    <t>Fri, 28 Aug 2020 00:00:00 GMT</t>
  </si>
  <si>
    <t>Thu, 27 Aug 2020 00:00:00 GMT</t>
  </si>
  <si>
    <t>Wed, 26 Aug 2020 00:00:00 GMT</t>
  </si>
  <si>
    <t>Tue, 25 Aug 2020 00:00:00 GMT</t>
  </si>
  <si>
    <t>Mon, 24 Aug 2020 00:00:00 GMT</t>
  </si>
  <si>
    <t>Fri, 21 Aug 2020 00:00:00 GMT</t>
  </si>
  <si>
    <t>Thu, 20 Aug 2020 00:00:00 GMT</t>
  </si>
  <si>
    <t>Wed, 19 Aug 2020 00:00:00 GMT</t>
  </si>
  <si>
    <t>Tue, 18 Aug 2020 00:00:00 GMT</t>
  </si>
  <si>
    <t>Mon, 17 Aug 2020 00:00:00 GMT</t>
  </si>
  <si>
    <t>Fri, 14 Aug 2020 00:00:00 GMT</t>
  </si>
  <si>
    <t>Thu, 13 Aug 2020 00:00:00 GMT</t>
  </si>
  <si>
    <t>Wed, 12 Aug 2020 00:00:00 GMT</t>
  </si>
  <si>
    <t>Tue, 11 Aug 2020 00:00:00 GMT</t>
  </si>
  <si>
    <t>Mon, 10 Aug 2020 00:00:00 GMT</t>
  </si>
  <si>
    <t>Fri, 07 Aug 2020 00:00:00 GMT</t>
  </si>
  <si>
    <t>Thu, 06 Aug 2020 00:00:00 GMT</t>
  </si>
  <si>
    <t>Wed, 05 Aug 2020 00:00:00 GMT</t>
  </si>
  <si>
    <t>Tue, 04 Aug 2020 00:00:00 GMT</t>
  </si>
  <si>
    <t>Mon, 03 Aug 2020 00:00:00 GMT</t>
  </si>
  <si>
    <t>Fri, 31 Jul 2020 00:00:00 GMT</t>
  </si>
  <si>
    <t>Thu, 30 Jul 2020 00:00:00 GMT</t>
  </si>
  <si>
    <t>Wed, 29 Jul 2020 00:00:00 GMT</t>
  </si>
  <si>
    <t>Tue, 28 Jul 2020 00:00:00 GMT</t>
  </si>
  <si>
    <t>Mon, 27 Jul 2020 00:00:00 GMT</t>
  </si>
  <si>
    <t>Fri, 24 Jul 2020 00:00:00 GMT</t>
  </si>
  <si>
    <t>Thu, 23 Jul 2020 00:00:00 GMT</t>
  </si>
  <si>
    <t>Wed, 22 Jul 2020 00:00:00 GMT</t>
  </si>
  <si>
    <t>Tue, 21 Jul 2020 00:00:00 GMT</t>
  </si>
  <si>
    <t>Mon, 20 Jul 2020 00:00:00 GMT</t>
  </si>
  <si>
    <t>Fri, 17 Jul 2020 00:00:00 GMT</t>
  </si>
  <si>
    <t>Thu, 16 Jul 2020 00:00:00 GMT</t>
  </si>
  <si>
    <t>Wed, 15 Jul 2020 00:00:00 GMT</t>
  </si>
  <si>
    <t>Tue, 14 Jul 2020 00:00:00 GMT</t>
  </si>
  <si>
    <t>Mon, 13 Jul 2020 00:00:00 GMT</t>
  </si>
  <si>
    <t>Fri, 10 Jul 2020 00:00:00 GMT</t>
  </si>
  <si>
    <t>Thu, 09 Jul 2020 00:00:00 GMT</t>
  </si>
  <si>
    <t>Wed, 08 Jul 2020 00:00:00 GMT</t>
  </si>
  <si>
    <t>Tue, 07 Jul 2020 00:00:00 GMT</t>
  </si>
  <si>
    <t>Mon, 06 Jul 2020 00:00:00 GMT</t>
  </si>
  <si>
    <t>Thu, 02 Jul 2020 00:00:00 GMT</t>
  </si>
  <si>
    <t>Wed, 01 Jul 2020 00:00:00 GMT</t>
  </si>
  <si>
    <t>Tue, 30 Jun 2020 00:00:00 GMT</t>
  </si>
  <si>
    <t>Mon, 29 Jun 2020 00:00:00 GMT</t>
  </si>
  <si>
    <t>Fri, 26 Jun 2020 00:00:00 GMT</t>
  </si>
  <si>
    <t>Thu, 25 Jun 2020 00:00:00 GMT</t>
  </si>
  <si>
    <t>Wed, 24 Jun 2020 00:00:00 GMT</t>
  </si>
  <si>
    <t>Tue, 23 Jun 2020 00:00:00 GMT</t>
  </si>
  <si>
    <t>Mon, 22 Jun 2020 00:00:00 GMT</t>
  </si>
  <si>
    <t>Fri, 19 Jun 2020 00:00:00 GMT</t>
  </si>
  <si>
    <t>Thu, 18 Jun 2020 00:00:00 GMT</t>
  </si>
  <si>
    <t>Wed, 17 Jun 2020 00:00:00 GMT</t>
  </si>
  <si>
    <t>Tue, 16 Jun 2020 00:00:00 GMT</t>
  </si>
  <si>
    <t>Mon, 15 Jun 2020 00:00:00 GMT</t>
  </si>
  <si>
    <t>Fri, 12 Jun 2020 00:00:00 GMT</t>
  </si>
  <si>
    <t>1256 Trading Days (From: 5/11/2020-5/11/2025)</t>
  </si>
  <si>
    <t>Including installation, repair, maintenance, 24/7 technical support, and proactive system health monitoring</t>
  </si>
  <si>
    <t>Integrated digital capabilities providing connected offerings, streamlining performance for hospitals with program-enhancing insights</t>
  </si>
  <si>
    <t>Intuitive Surgical, Inc. was incorporated in 1995 and is headquartered in Sunnyvale, California</t>
  </si>
  <si>
    <t>Instruments &amp; Accessories</t>
  </si>
  <si>
    <t>Systems</t>
  </si>
  <si>
    <t>Services</t>
  </si>
  <si>
    <t>Instruments &amp; Accessories Growth Y/y</t>
  </si>
  <si>
    <t>Systems Growth Y/y</t>
  </si>
  <si>
    <t>Services Growth Y/y</t>
  </si>
  <si>
    <t>Ttl Revenue Growth Y/y</t>
  </si>
  <si>
    <t>Instrument &amp; Acc. % of Ttl Revenues</t>
  </si>
  <si>
    <t>Services % of Ttl Revenues</t>
  </si>
  <si>
    <t>Systems % of Ttl Revenues</t>
  </si>
  <si>
    <t>SG&amp;A</t>
  </si>
  <si>
    <t>R&amp;D</t>
  </si>
  <si>
    <t>Operating Income</t>
  </si>
  <si>
    <t>Interest Income</t>
  </si>
  <si>
    <t>Pretax Income</t>
  </si>
  <si>
    <t>Taxes</t>
  </si>
  <si>
    <t>EPS</t>
  </si>
  <si>
    <t>A/R</t>
  </si>
  <si>
    <t>Inventories</t>
  </si>
  <si>
    <t>Prepaid Expenses</t>
  </si>
  <si>
    <t>PP&amp;E</t>
  </si>
  <si>
    <t>LT Investments</t>
  </si>
  <si>
    <t>Deferred Tax Assets</t>
  </si>
  <si>
    <t>Intangible &amp; Other Assets</t>
  </si>
  <si>
    <t>Ttl Assets</t>
  </si>
  <si>
    <t>A/P</t>
  </si>
  <si>
    <t>Accrued Compensation</t>
  </si>
  <si>
    <t>Deffered Revenues</t>
  </si>
  <si>
    <t>Other ST Liabilities</t>
  </si>
  <si>
    <t>LT Liabilities</t>
  </si>
  <si>
    <t>Ttl Liabilities</t>
  </si>
  <si>
    <t>SE</t>
  </si>
  <si>
    <t>Ttl L + SE</t>
  </si>
  <si>
    <t>Founder(s): Frederic Moll, John Freund, and Robert Younge</t>
  </si>
  <si>
    <t>COGS</t>
  </si>
  <si>
    <t>Less: Joint Venture</t>
  </si>
  <si>
    <t xml:space="preserve">Attributable Income </t>
  </si>
  <si>
    <t>Current CEO: David Rosa (Succeeding Gary Guthart who stepped back into Chairman role July 1st, 2025)</t>
  </si>
  <si>
    <t>https://www.intuitive.com/en-gb/-/media/ISI/Intuitive/Pdf/intuitive-company-press-facts-europe-1096203.pdf</t>
  </si>
  <si>
    <t>The Company sells its products through direct sales organizations, such as capital and clinical sales teams</t>
  </si>
  <si>
    <t xml:space="preserve">Revenue Breakdown by Segment </t>
  </si>
  <si>
    <t>More</t>
  </si>
  <si>
    <t xml:space="preserve">[ISRG] Historical Return Histogram (8/3/2025) </t>
  </si>
  <si>
    <r>
      <t xml:space="preserve">The Company offers the </t>
    </r>
    <r>
      <rPr>
        <b/>
        <sz val="11"/>
        <color theme="1"/>
        <rFont val="Calibre"/>
      </rPr>
      <t xml:space="preserve">Da Vinci Surgical System </t>
    </r>
    <r>
      <rPr>
        <sz val="11"/>
        <color theme="1"/>
        <rFont val="Calibre"/>
      </rPr>
      <t>that enables surgical procedures using a minimally invasive approach; and Ion endoluminal system, which extends its commercial offerings beyond surgery into diagnostic endoluminal procedures enabling minimally invasive biopsies in the lung</t>
    </r>
  </si>
  <si>
    <t>Projected ROIC:</t>
  </si>
  <si>
    <t>Invested Capital</t>
  </si>
  <si>
    <t>AVG Invested Capital</t>
  </si>
  <si>
    <t>ROIC</t>
  </si>
  <si>
    <t>2023-2024</t>
  </si>
  <si>
    <t>Terminal</t>
  </si>
  <si>
    <t>RFR (10-year yield)</t>
  </si>
  <si>
    <t>ERP 
(Avg. market return - (less) RFR)</t>
  </si>
  <si>
    <t>Equity β (1-year avg.)</t>
  </si>
  <si>
    <t>Discount (Cost of Equity)</t>
  </si>
  <si>
    <t>NPV</t>
  </si>
  <si>
    <t>FV</t>
  </si>
  <si>
    <t>CP</t>
  </si>
  <si>
    <t>Change Δ</t>
  </si>
  <si>
    <t>In Q2'25 Dr. Gary Guthart stepped down as CEO after 15 years of service… He announced he will now be serving as chairman of the board ... David Rosa is taking on the CEO role</t>
  </si>
  <si>
    <t>ROIC, WACC</t>
  </si>
  <si>
    <t>MacroTrends</t>
  </si>
  <si>
    <t>https://www.macrotrends.net/stocks/charts/ISRG/intuitive-surgical/cash-flow-statement?freq=Q</t>
  </si>
  <si>
    <t>https://www.gurufocus.com/term/wacc/ISRG</t>
  </si>
  <si>
    <t>Master</t>
  </si>
  <si>
    <t>Fiscal Year: [January - December]</t>
  </si>
  <si>
    <t>Financial Stmts. Notes/Observations</t>
  </si>
  <si>
    <t>They did surgery on a grape</t>
  </si>
  <si>
    <t>Q3'25</t>
  </si>
  <si>
    <t>1/10/2026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</si>
</sst>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4" formatCode="_(&quot;$&quot;* #,##0.00_);_(&quot;$&quot;* \(#,##0.00\);_(&quot;$&quot;* &quot;-&quot;??_);_(@_)"/>
    <numFmt numFmtId="164" formatCode="_(&quot;$&quot;* #,##0_);_(&quot;$&quot;* \(#,##0\);_(&quot;$&quot;* &quot;-&quot;??_);_(@_)"/>
    <numFmt numFmtId="165" formatCode="0.0"/>
    <numFmt numFmtId="166" formatCode="0.0%"/>
    <numFmt numFmtId="167" formatCode="0.0000"/>
  </numFmts>
  <fonts count="18">
    <font>
      <sz val="11"/>
      <color theme="1"/>
      <name val="Calibri"/>
      <family val="2"/>
      <scheme val="minor"/>
    </font>
    <font>
      <sz val="11"/>
      <color theme="1"/>
      <name val="Calibri"/>
      <family val="2"/>
      <scheme val="minor"/>
    </font>
    <font>
      <sz val="11"/>
      <color theme="1"/>
      <name val="Calibre"/>
    </font>
    <font>
      <b/>
      <sz val="11"/>
      <color theme="1"/>
      <name val="Calibre"/>
    </font>
    <font>
      <b/>
      <sz val="11"/>
      <color theme="0"/>
      <name val="Calibre"/>
    </font>
    <font>
      <sz val="11"/>
      <color theme="0"/>
      <name val="Calibre"/>
    </font>
    <font>
      <b/>
      <sz val="10"/>
      <name val="Arial"/>
      <family val="2"/>
    </font>
    <font>
      <i/>
      <sz val="11"/>
      <color theme="1"/>
      <name val="Calibre"/>
    </font>
    <font>
      <b/>
      <sz val="10"/>
      <name val="Calibre"/>
    </font>
    <font>
      <i/>
      <sz val="11"/>
      <color theme="1"/>
      <name val="Calibri"/>
      <family val="2"/>
      <scheme val="minor"/>
    </font>
    <font>
      <b/>
      <i/>
      <sz val="11"/>
      <color theme="1"/>
      <name val="Calibri"/>
      <family val="2"/>
      <scheme val="minor"/>
    </font>
    <font>
      <b/>
      <sz val="11"/>
      <name val="Calibre"/>
    </font>
    <font>
      <b/>
      <sz val="11"/>
      <color rgb="FF0070C0"/>
      <name val="Calibre"/>
    </font>
    <font>
      <sz val="11"/>
      <color rgb="FF0070C0"/>
      <name val="Calibre"/>
    </font>
    <font>
      <sz val="11"/>
      <name val="Calibre"/>
    </font>
    <font>
      <u/>
      <sz val="11"/>
      <color theme="10"/>
      <name val="Calibri"/>
      <family val="2"/>
      <scheme val="minor"/>
    </font>
    <font>
      <u/>
      <sz val="11"/>
      <color rgb="FF00B0F0"/>
      <name val="Calibre"/>
    </font>
    <font>
      <sz val="10"/>
      <name val="Arial"/>
      <family val="2"/>
    </font>
  </fonts>
  <fills count="6">
    <fill>
      <patternFill patternType="none"/>
    </fill>
    <fill>
      <patternFill patternType="gray125"/>
    </fill>
    <fill>
      <patternFill patternType="solid">
        <fgColor rgb="FF002060"/>
        <bgColor indexed="64"/>
      </patternFill>
    </fill>
    <fill>
      <patternFill patternType="solid">
        <fgColor theme="8" tint="-0.249977111117893"/>
        <bgColor indexed="64"/>
      </patternFill>
    </fill>
    <fill>
      <patternFill patternType="solid">
        <fgColor theme="4" tint="0.79998168889431442"/>
        <bgColor theme="4" tint="0.79998168889431442"/>
      </patternFill>
    </fill>
    <fill>
      <patternFill patternType="solid">
        <fgColor rgb="FFF5F5F5"/>
      </patternFill>
    </fill>
  </fills>
  <borders count="19">
    <border>
      <left/>
      <right/>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right/>
      <top style="thin">
        <color indexed="64"/>
      </top>
      <bottom style="thin">
        <color theme="4" tint="0.39997558519241921"/>
      </bottom>
      <diagonal/>
    </border>
    <border>
      <left/>
      <right style="thin">
        <color indexed="64"/>
      </right>
      <top style="thin">
        <color indexed="64"/>
      </top>
      <bottom style="thin">
        <color theme="4" tint="0.39997558519241921"/>
      </bottom>
      <diagonal/>
    </border>
    <border>
      <left style="thin">
        <color indexed="64"/>
      </left>
      <right/>
      <top/>
      <bottom/>
      <diagonal/>
    </border>
    <border>
      <left/>
      <right style="thin">
        <color indexed="64"/>
      </right>
      <top/>
      <bottom/>
      <diagonal/>
    </border>
    <border>
      <left/>
      <right/>
      <top style="thin">
        <color theme="4" tint="0.39997558519241921"/>
      </top>
      <bottom style="thin">
        <color theme="4" tint="0.39997558519241921"/>
      </bottom>
      <diagonal/>
    </border>
    <border>
      <left/>
      <right style="thin">
        <color indexed="64"/>
      </right>
      <top style="thin">
        <color theme="4" tint="0.39997558519241921"/>
      </top>
      <bottom style="thin">
        <color theme="4" tint="0.39997558519241921"/>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top style="thin">
        <color theme="4" tint="0.39997558519241921"/>
      </top>
      <bottom style="thin">
        <color indexed="64"/>
      </bottom>
      <diagonal/>
    </border>
    <border>
      <left/>
      <right style="thin">
        <color indexed="64"/>
      </right>
      <top style="thin">
        <color theme="4" tint="0.39997558519241921"/>
      </top>
      <bottom style="thin">
        <color indexed="64"/>
      </bottom>
      <diagonal/>
    </border>
    <border>
      <left/>
      <right/>
      <top style="medium">
        <color indexed="64"/>
      </top>
      <bottom style="thin">
        <color indexed="64"/>
      </bottom>
      <diagonal/>
    </border>
    <border>
      <left/>
      <right/>
      <top/>
      <bottom style="medium">
        <color indexed="64"/>
      </bottom>
      <diagonal/>
    </border>
  </borders>
  <cellStyleXfs count="4">
    <xf numFmtId="0" fontId="0" fillId="0" borderId="0"/>
    <xf numFmtId="9" fontId="1" fillId="0" borderId="0" applyFont="0" applyFill="0" applyBorder="0" applyAlignment="0" applyProtection="0"/>
    <xf numFmtId="44" fontId="1" fillId="0" borderId="0" applyFont="0" applyFill="0" applyBorder="0" applyAlignment="0" applyProtection="0"/>
    <xf numFmtId="0" fontId="15" fillId="0" borderId="0" applyNumberFormat="0" applyFill="0" applyBorder="0" applyAlignment="0" applyProtection="0"/>
  </cellStyleXfs>
  <cellXfs count="79">
    <xf numFmtId="0" fontId="0" fillId="0" borderId="0" xfId="0"/>
    <xf numFmtId="0" fontId="2" fillId="0" borderId="0" xfId="0" applyFont="1"/>
    <xf numFmtId="0" fontId="3" fillId="0" borderId="0" xfId="0" applyFont="1"/>
    <xf numFmtId="0" fontId="4" fillId="2" borderId="1" xfId="0" applyFont="1" applyFill="1" applyBorder="1"/>
    <xf numFmtId="0" fontId="5" fillId="2" borderId="2" xfId="0" applyFont="1" applyFill="1" applyBorder="1"/>
    <xf numFmtId="0" fontId="5" fillId="2" borderId="3" xfId="0" applyFont="1" applyFill="1" applyBorder="1"/>
    <xf numFmtId="0" fontId="5" fillId="2" borderId="4" xfId="0" applyFont="1" applyFill="1" applyBorder="1"/>
    <xf numFmtId="0" fontId="4" fillId="3" borderId="1" xfId="0" applyFont="1" applyFill="1" applyBorder="1" applyAlignment="1">
      <alignment horizontal="left"/>
    </xf>
    <xf numFmtId="0" fontId="5" fillId="3" borderId="2" xfId="0" applyFont="1" applyFill="1" applyBorder="1" applyAlignment="1">
      <alignment horizontal="center"/>
    </xf>
    <xf numFmtId="0" fontId="5" fillId="3" borderId="5" xfId="0" applyFont="1" applyFill="1" applyBorder="1" applyAlignment="1">
      <alignment horizontal="center"/>
    </xf>
    <xf numFmtId="10" fontId="2" fillId="4" borderId="6" xfId="0" applyNumberFormat="1" applyFont="1" applyFill="1" applyBorder="1"/>
    <xf numFmtId="10" fontId="2" fillId="4" borderId="7" xfId="0" applyNumberFormat="1" applyFont="1" applyFill="1" applyBorder="1"/>
    <xf numFmtId="0" fontId="4" fillId="3" borderId="8" xfId="0" applyFont="1" applyFill="1" applyBorder="1" applyAlignment="1">
      <alignment horizontal="left"/>
    </xf>
    <xf numFmtId="0" fontId="5" fillId="3" borderId="0" xfId="0" applyFont="1" applyFill="1" applyAlignment="1">
      <alignment horizontal="center"/>
    </xf>
    <xf numFmtId="0" fontId="5" fillId="3" borderId="9" xfId="0" applyFont="1" applyFill="1" applyBorder="1" applyAlignment="1">
      <alignment horizontal="center"/>
    </xf>
    <xf numFmtId="10" fontId="2" fillId="0" borderId="10" xfId="0" applyNumberFormat="1" applyFont="1" applyBorder="1"/>
    <xf numFmtId="10" fontId="2" fillId="0" borderId="11" xfId="0" applyNumberFormat="1" applyFont="1" applyBorder="1"/>
    <xf numFmtId="10" fontId="2" fillId="4" borderId="10" xfId="0" applyNumberFormat="1" applyFont="1" applyFill="1" applyBorder="1"/>
    <xf numFmtId="10" fontId="2" fillId="4" borderId="11" xfId="0" applyNumberFormat="1" applyFont="1" applyFill="1" applyBorder="1"/>
    <xf numFmtId="0" fontId="4" fillId="3" borderId="12" xfId="0" applyFont="1" applyFill="1" applyBorder="1" applyAlignment="1">
      <alignment horizontal="left"/>
    </xf>
    <xf numFmtId="0" fontId="5" fillId="3" borderId="13" xfId="0" applyFont="1" applyFill="1" applyBorder="1" applyAlignment="1">
      <alignment horizontal="center"/>
    </xf>
    <xf numFmtId="0" fontId="5" fillId="3" borderId="14" xfId="0" applyFont="1" applyFill="1" applyBorder="1" applyAlignment="1">
      <alignment horizontal="center"/>
    </xf>
    <xf numFmtId="10" fontId="2" fillId="0" borderId="15" xfId="0" applyNumberFormat="1" applyFont="1" applyBorder="1"/>
    <xf numFmtId="10" fontId="2" fillId="0" borderId="16" xfId="0" applyNumberFormat="1" applyFont="1" applyBorder="1"/>
    <xf numFmtId="0" fontId="6" fillId="5" borderId="0" xfId="0" applyFont="1" applyFill="1" applyAlignment="1">
      <alignment horizontal="center" vertical="center"/>
    </xf>
    <xf numFmtId="10" fontId="2" fillId="0" borderId="0" xfId="0" applyNumberFormat="1" applyFont="1"/>
    <xf numFmtId="0" fontId="8" fillId="5" borderId="0" xfId="0" applyFont="1" applyFill="1" applyAlignment="1">
      <alignment horizontal="center" vertical="center"/>
    </xf>
    <xf numFmtId="10" fontId="8" fillId="5" borderId="0" xfId="0" applyNumberFormat="1" applyFont="1" applyFill="1" applyAlignment="1">
      <alignment horizontal="center" vertical="center"/>
    </xf>
    <xf numFmtId="0" fontId="8" fillId="5" borderId="0" xfId="0" applyFont="1" applyFill="1" applyAlignment="1">
      <alignment horizontal="right" vertical="center"/>
    </xf>
    <xf numFmtId="0" fontId="2" fillId="0" borderId="0" xfId="0" applyFont="1" applyAlignment="1">
      <alignment horizontal="right"/>
    </xf>
    <xf numFmtId="3" fontId="2" fillId="0" borderId="0" xfId="0" applyNumberFormat="1" applyFont="1" applyAlignment="1">
      <alignment horizontal="left"/>
    </xf>
    <xf numFmtId="0" fontId="9" fillId="0" borderId="17" xfId="0" applyFont="1" applyBorder="1" applyAlignment="1">
      <alignment horizontal="left"/>
    </xf>
    <xf numFmtId="0" fontId="9" fillId="0" borderId="17" xfId="0" applyFont="1" applyBorder="1" applyAlignment="1">
      <alignment horizontal="center" wrapText="1"/>
    </xf>
    <xf numFmtId="0" fontId="11" fillId="0" borderId="0" xfId="0" applyFont="1"/>
    <xf numFmtId="0" fontId="12" fillId="0" borderId="0" xfId="0" applyFont="1"/>
    <xf numFmtId="0" fontId="13" fillId="0" borderId="0" xfId="0" applyFont="1"/>
    <xf numFmtId="0" fontId="14" fillId="0" borderId="0" xfId="0" applyFont="1" applyAlignment="1">
      <alignment horizontal="left" indent="1"/>
    </xf>
    <xf numFmtId="0" fontId="14" fillId="0" borderId="0" xfId="0" applyFont="1"/>
    <xf numFmtId="2" fontId="2" fillId="0" borderId="0" xfId="1" quotePrefix="1" applyNumberFormat="1" applyFont="1"/>
    <xf numFmtId="2" fontId="2" fillId="0" borderId="0" xfId="0" applyNumberFormat="1" applyFont="1"/>
    <xf numFmtId="2" fontId="2" fillId="0" borderId="0" xfId="0" quotePrefix="1" applyNumberFormat="1" applyFont="1"/>
    <xf numFmtId="0" fontId="2" fillId="0" borderId="0" xfId="1" applyNumberFormat="1" applyFont="1"/>
    <xf numFmtId="44" fontId="2" fillId="0" borderId="0" xfId="0" applyNumberFormat="1" applyFont="1" applyAlignment="1">
      <alignment horizontal="right" indent="1"/>
    </xf>
    <xf numFmtId="164" fontId="2" fillId="0" borderId="0" xfId="2" applyNumberFormat="1" applyFont="1" applyAlignment="1">
      <alignment horizontal="right" indent="1"/>
    </xf>
    <xf numFmtId="0" fontId="16" fillId="0" borderId="0" xfId="3" applyFont="1"/>
    <xf numFmtId="165" fontId="2" fillId="0" borderId="0" xfId="0" applyNumberFormat="1" applyFont="1"/>
    <xf numFmtId="0" fontId="17" fillId="0" borderId="0" xfId="0" applyFont="1"/>
    <xf numFmtId="1" fontId="2" fillId="0" borderId="0" xfId="0" applyNumberFormat="1" applyFont="1"/>
    <xf numFmtId="166" fontId="2" fillId="0" borderId="0" xfId="1" applyNumberFormat="1" applyFont="1"/>
    <xf numFmtId="0" fontId="11" fillId="0" borderId="0" xfId="0" applyFont="1" applyAlignment="1">
      <alignment horizontal="left" indent="1"/>
    </xf>
    <xf numFmtId="1" fontId="3" fillId="0" borderId="0" xfId="0" applyNumberFormat="1" applyFont="1"/>
    <xf numFmtId="166" fontId="3" fillId="0" borderId="0" xfId="1" applyNumberFormat="1" applyFont="1"/>
    <xf numFmtId="0" fontId="15" fillId="0" borderId="0" xfId="3"/>
    <xf numFmtId="164" fontId="2" fillId="0" borderId="0" xfId="2" applyNumberFormat="1" applyFont="1" applyAlignment="1">
      <alignment horizontal="right" indent="2"/>
    </xf>
    <xf numFmtId="10" fontId="2" fillId="0" borderId="0" xfId="0" applyNumberFormat="1" applyFont="1" applyAlignment="1">
      <alignment vertical="top"/>
    </xf>
    <xf numFmtId="10" fontId="0" fillId="0" borderId="0" xfId="0" applyNumberFormat="1"/>
    <xf numFmtId="0" fontId="0" fillId="0" borderId="18" xfId="0" applyBorder="1"/>
    <xf numFmtId="0" fontId="9" fillId="0" borderId="17" xfId="0" applyFont="1" applyBorder="1" applyAlignment="1">
      <alignment horizontal="center"/>
    </xf>
    <xf numFmtId="167" fontId="2" fillId="0" borderId="0" xfId="0" applyNumberFormat="1" applyFont="1"/>
    <xf numFmtId="0" fontId="13" fillId="0" borderId="0" xfId="0" applyFont="1" applyAlignment="1">
      <alignment horizontal="right" vertical="top"/>
    </xf>
    <xf numFmtId="0" fontId="13" fillId="0" borderId="0" xfId="0" applyFont="1" applyAlignment="1">
      <alignment vertical="top"/>
    </xf>
    <xf numFmtId="0" fontId="13" fillId="0" borderId="0" xfId="0" applyFont="1" applyAlignment="1">
      <alignment horizontal="center" vertical="top"/>
    </xf>
    <xf numFmtId="0" fontId="13" fillId="0" borderId="0" xfId="0" applyFont="1" applyAlignment="1">
      <alignment vertical="top" wrapText="1"/>
    </xf>
    <xf numFmtId="10" fontId="13" fillId="0" borderId="0" xfId="0" applyNumberFormat="1" applyFont="1" applyAlignment="1">
      <alignment vertical="top"/>
    </xf>
    <xf numFmtId="1" fontId="13" fillId="0" borderId="0" xfId="0" applyNumberFormat="1" applyFont="1" applyAlignment="1">
      <alignment vertical="top"/>
    </xf>
    <xf numFmtId="165" fontId="13" fillId="0" borderId="0" xfId="0" applyNumberFormat="1" applyFont="1" applyAlignment="1">
      <alignment vertical="top"/>
    </xf>
    <xf numFmtId="166" fontId="13" fillId="0" borderId="0" xfId="1" applyNumberFormat="1" applyFont="1" applyAlignment="1">
      <alignment vertical="top"/>
    </xf>
    <xf numFmtId="2" fontId="13" fillId="0" borderId="0" xfId="0" applyNumberFormat="1" applyFont="1" applyAlignment="1">
      <alignment vertical="top"/>
    </xf>
    <xf numFmtId="14" fontId="13" fillId="0" borderId="0" xfId="0" applyNumberFormat="1" applyFont="1" applyAlignment="1">
      <alignment horizontal="left" vertical="top"/>
    </xf>
    <xf numFmtId="0" fontId="13" fillId="0" borderId="0" xfId="0" applyFont="1" applyAlignment="1">
      <alignment horizontal="left" vertical="top"/>
    </xf>
    <xf numFmtId="49" fontId="13" fillId="0" borderId="0" xfId="0" applyNumberFormat="1" applyFont="1" applyAlignment="1">
      <alignment horizontal="left" vertical="top"/>
    </xf>
    <xf numFmtId="0" fontId="12" fillId="0" borderId="0" xfId="0" applyFont="1" applyAlignment="1">
      <alignment vertical="top"/>
    </xf>
    <xf numFmtId="166" fontId="13" fillId="0" borderId="0" xfId="1" applyNumberFormat="1" applyFont="1"/>
    <xf numFmtId="166" fontId="12" fillId="0" borderId="0" xfId="1" applyNumberFormat="1" applyFont="1"/>
    <xf numFmtId="1" fontId="13" fillId="0" borderId="0" xfId="0" applyNumberFormat="1" applyFont="1"/>
    <xf numFmtId="1" fontId="12" fillId="0" borderId="0" xfId="0" applyNumberFormat="1" applyFont="1"/>
    <xf numFmtId="49" fontId="2" fillId="0" borderId="0" xfId="0" applyNumberFormat="1" applyFont="1"/>
    <xf numFmtId="0" fontId="2" fillId="0" borderId="0" xfId="0" applyFont="1" applyAlignment="1">
      <alignment horizontal="left"/>
    </xf>
    <xf numFmtId="0" fontId="13" fillId="0" borderId="0" xfId="0" applyFont="1" applyAlignment="1">
      <alignment horizontal="center"/>
    </xf>
  </cellXfs>
  <cellStyles count="4">
    <cellStyle name="Currency" xfId="2" builtinId="4"/>
    <cellStyle name="Hyperlink" xfId="3" builtinId="8"/>
    <cellStyle name="Normal" xfId="0" builtinId="0"/>
    <cellStyle name="Percent" xfId="1" builtinId="5"/>
  </cellStyles>
  <dxfs count="5">
    <dxf>
      <font>
        <b/>
        <i val="0"/>
        <color theme="0"/>
      </font>
      <fill>
        <patternFill>
          <bgColor rgb="FF5A8C38"/>
        </patternFill>
      </fill>
    </dxf>
    <dxf>
      <font>
        <b/>
        <i val="0"/>
        <color theme="0"/>
      </font>
      <fill>
        <patternFill>
          <bgColor theme="9" tint="0.39994506668294322"/>
        </patternFill>
      </fill>
    </dxf>
    <dxf>
      <font>
        <b/>
        <i val="0"/>
        <color theme="1"/>
      </font>
      <fill>
        <patternFill>
          <bgColor theme="7" tint="0.39994506668294322"/>
        </patternFill>
      </fill>
    </dxf>
    <dxf>
      <font>
        <b/>
        <i val="0"/>
        <color theme="0"/>
      </font>
      <fill>
        <patternFill>
          <bgColor rgb="FFFF6D6D"/>
        </patternFill>
      </fill>
    </dxf>
    <dxf>
      <font>
        <b/>
        <i val="0"/>
        <color theme="0"/>
      </font>
      <fill>
        <patternFill>
          <bgColor rgb="FFF20000"/>
        </patternFill>
      </fill>
    </dxf>
  </dxfs>
  <tableStyles count="0" defaultTableStyle="TableStyleMedium2" defaultPivotStyle="PivotStyleLight16"/>
  <colors>
    <mruColors>
      <color rgb="FFF2B800"/>
      <color rgb="FF0094C8"/>
      <color rgb="FF00A1DA"/>
      <color rgb="FF6EB29D"/>
      <color rgb="FF5781CD"/>
      <color rgb="FF7E9ED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3" Type="http://schemas.openxmlformats.org/officeDocument/2006/relationships/themeOverride" Target="../theme/themeOverride1.xml"/><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3" Type="http://schemas.openxmlformats.org/officeDocument/2006/relationships/themeOverride" Target="../theme/themeOverride2.xml"/><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(ISRG) Revenue by Segment (in $ millions)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6.8109587501048507E-2"/>
          <c:y val="0.16630261573867286"/>
          <c:w val="0.91646860416323306"/>
          <c:h val="0.74917903495450422"/>
        </c:manualLayout>
      </c:layout>
      <c:barChart>
        <c:barDir val="col"/>
        <c:grouping val="stacked"/>
        <c:varyColors val="0"/>
        <c:ser>
          <c:idx val="2"/>
          <c:order val="0"/>
          <c:tx>
            <c:strRef>
              <c:f>Model!$B$6</c:f>
              <c:strCache>
                <c:ptCount val="1"/>
                <c:pt idx="0">
                  <c:v>Services</c:v>
                </c:pt>
              </c:strCache>
            </c:strRef>
          </c:tx>
          <c:spPr>
            <a:solidFill>
              <a:srgbClr val="6EB29D"/>
            </a:solidFill>
            <a:ln>
              <a:noFill/>
            </a:ln>
            <a:effectLst/>
          </c:spPr>
          <c:invertIfNegative val="0"/>
          <c:cat>
            <c:strRef>
              <c:f>Model!$AY$1:$BT$1</c:f>
              <c:strCache>
                <c:ptCount val="21"/>
                <c:pt idx="0">
                  <c:v>Q1 2020</c:v>
                </c:pt>
                <c:pt idx="4">
                  <c:v>Q1 2021</c:v>
                </c:pt>
                <c:pt idx="8">
                  <c:v>Q1 2022</c:v>
                </c:pt>
                <c:pt idx="12">
                  <c:v>Q1 2023</c:v>
                </c:pt>
                <c:pt idx="16">
                  <c:v>Q1 2024</c:v>
                </c:pt>
                <c:pt idx="20">
                  <c:v>Q1 2025</c:v>
                </c:pt>
              </c:strCache>
            </c:strRef>
          </c:cat>
          <c:val>
            <c:numRef>
              <c:f>Model!$AY$6:$BU$6</c:f>
              <c:numCache>
                <c:formatCode>0</c:formatCode>
                <c:ptCount val="23"/>
                <c:pt idx="0">
                  <c:v>198.7</c:v>
                </c:pt>
                <c:pt idx="1">
                  <c:v>130.30000000000001</c:v>
                </c:pt>
                <c:pt idx="2">
                  <c:v>179.4</c:v>
                </c:pt>
                <c:pt idx="3">
                  <c:v>215.39999999999998</c:v>
                </c:pt>
                <c:pt idx="4">
                  <c:v>217.5</c:v>
                </c:pt>
                <c:pt idx="5">
                  <c:v>228</c:v>
                </c:pt>
                <c:pt idx="6">
                  <c:v>232.7</c:v>
                </c:pt>
                <c:pt idx="7">
                  <c:v>238</c:v>
                </c:pt>
                <c:pt idx="8">
                  <c:v>249.3</c:v>
                </c:pt>
                <c:pt idx="9">
                  <c:v>251.7</c:v>
                </c:pt>
                <c:pt idx="10">
                  <c:v>259.89999999999998</c:v>
                </c:pt>
                <c:pt idx="11">
                  <c:v>263.30000000000007</c:v>
                </c:pt>
                <c:pt idx="12">
                  <c:v>283.2</c:v>
                </c:pt>
                <c:pt idx="13">
                  <c:v>287.3</c:v>
                </c:pt>
                <c:pt idx="14">
                  <c:v>292.89999999999998</c:v>
                </c:pt>
                <c:pt idx="15">
                  <c:v>304.39999999999998</c:v>
                </c:pt>
                <c:pt idx="16">
                  <c:v>313.5</c:v>
                </c:pt>
                <c:pt idx="17">
                  <c:v>317.3</c:v>
                </c:pt>
                <c:pt idx="18">
                  <c:v>328.9</c:v>
                </c:pt>
                <c:pt idx="19">
                  <c:v>347.4</c:v>
                </c:pt>
                <c:pt idx="20">
                  <c:v>363</c:v>
                </c:pt>
                <c:pt idx="21">
                  <c:v>391.20000000000005</c:v>
                </c:pt>
                <c:pt idx="22">
                  <c:v>395</c:v>
                </c:pt>
              </c:numCache>
            </c:numRef>
          </c:val>
          <c:extLst>
            <c:ext xmlns:c16="http://schemas.microsoft.com/office/drawing/2014/chart" uri="{C3380CC4-5D6E-409C-BE32-E72D297353CC}">
              <c16:uniqueId val="{00000002-763E-43B3-B662-D76C6E829219}"/>
            </c:ext>
          </c:extLst>
        </c:ser>
        <c:ser>
          <c:idx val="7"/>
          <c:order val="1"/>
          <c:tx>
            <c:strRef>
              <c:f>Model!$B$5</c:f>
              <c:strCache>
                <c:ptCount val="1"/>
                <c:pt idx="0">
                  <c:v>Systems</c:v>
                </c:pt>
              </c:strCache>
            </c:strRef>
          </c:tx>
          <c:spPr>
            <a:solidFill>
              <a:srgbClr val="F2B800"/>
            </a:solidFill>
            <a:ln>
              <a:noFill/>
            </a:ln>
            <a:effectLst/>
          </c:spPr>
          <c:invertIfNegative val="0"/>
          <c:cat>
            <c:strRef>
              <c:f>Model!$AY$1:$BT$1</c:f>
              <c:strCache>
                <c:ptCount val="21"/>
                <c:pt idx="0">
                  <c:v>Q1 2020</c:v>
                </c:pt>
                <c:pt idx="4">
                  <c:v>Q1 2021</c:v>
                </c:pt>
                <c:pt idx="8">
                  <c:v>Q1 2022</c:v>
                </c:pt>
                <c:pt idx="12">
                  <c:v>Q1 2023</c:v>
                </c:pt>
                <c:pt idx="16">
                  <c:v>Q1 2024</c:v>
                </c:pt>
                <c:pt idx="20">
                  <c:v>Q1 2025</c:v>
                </c:pt>
              </c:strCache>
            </c:strRef>
          </c:cat>
          <c:val>
            <c:numRef>
              <c:f>Model!$AY$5:$BU$5</c:f>
              <c:numCache>
                <c:formatCode>0</c:formatCode>
                <c:ptCount val="23"/>
                <c:pt idx="0">
                  <c:v>283.3</c:v>
                </c:pt>
                <c:pt idx="1">
                  <c:v>261</c:v>
                </c:pt>
                <c:pt idx="2">
                  <c:v>267.8</c:v>
                </c:pt>
                <c:pt idx="3">
                  <c:v>366.80000000000018</c:v>
                </c:pt>
                <c:pt idx="4">
                  <c:v>368.7</c:v>
                </c:pt>
                <c:pt idx="5">
                  <c:v>439.6</c:v>
                </c:pt>
                <c:pt idx="6">
                  <c:v>415.2</c:v>
                </c:pt>
                <c:pt idx="7">
                  <c:v>469.90000000000009</c:v>
                </c:pt>
                <c:pt idx="8">
                  <c:v>428.1</c:v>
                </c:pt>
                <c:pt idx="9">
                  <c:v>375.1</c:v>
                </c:pt>
                <c:pt idx="10">
                  <c:v>425.9</c:v>
                </c:pt>
                <c:pt idx="11">
                  <c:v>451</c:v>
                </c:pt>
                <c:pt idx="12">
                  <c:v>427.4</c:v>
                </c:pt>
                <c:pt idx="13">
                  <c:v>392.7</c:v>
                </c:pt>
                <c:pt idx="14">
                  <c:v>379.4</c:v>
                </c:pt>
                <c:pt idx="15">
                  <c:v>480.20000000000005</c:v>
                </c:pt>
                <c:pt idx="16">
                  <c:v>418.2</c:v>
                </c:pt>
                <c:pt idx="17">
                  <c:v>448.2</c:v>
                </c:pt>
                <c:pt idx="18">
                  <c:v>445</c:v>
                </c:pt>
                <c:pt idx="19">
                  <c:v>654.59999999999991</c:v>
                </c:pt>
                <c:pt idx="20">
                  <c:v>522.70000000000005</c:v>
                </c:pt>
                <c:pt idx="21">
                  <c:v>574.70000000000005</c:v>
                </c:pt>
                <c:pt idx="22">
                  <c:v>590.4</c:v>
                </c:pt>
              </c:numCache>
            </c:numRef>
          </c:val>
          <c:extLst>
            <c:ext xmlns:c16="http://schemas.microsoft.com/office/drawing/2014/chart" uri="{C3380CC4-5D6E-409C-BE32-E72D297353CC}">
              <c16:uniqueId val="{00000007-763E-43B3-B662-D76C6E829219}"/>
            </c:ext>
          </c:extLst>
        </c:ser>
        <c:ser>
          <c:idx val="3"/>
          <c:order val="2"/>
          <c:tx>
            <c:strRef>
              <c:f>Model!$B$4</c:f>
              <c:strCache>
                <c:ptCount val="1"/>
                <c:pt idx="0">
                  <c:v>Instruments &amp; Accessories</c:v>
                </c:pt>
              </c:strCache>
            </c:strRef>
          </c:tx>
          <c:spPr>
            <a:solidFill>
              <a:srgbClr val="0094C8"/>
            </a:solidFill>
            <a:ln>
              <a:noFill/>
            </a:ln>
            <a:effectLst/>
          </c:spPr>
          <c:invertIfNegative val="0"/>
          <c:cat>
            <c:strRef>
              <c:f>Model!$AY$1:$BT$1</c:f>
              <c:strCache>
                <c:ptCount val="21"/>
                <c:pt idx="0">
                  <c:v>Q1 2020</c:v>
                </c:pt>
                <c:pt idx="4">
                  <c:v>Q1 2021</c:v>
                </c:pt>
                <c:pt idx="8">
                  <c:v>Q1 2022</c:v>
                </c:pt>
                <c:pt idx="12">
                  <c:v>Q1 2023</c:v>
                </c:pt>
                <c:pt idx="16">
                  <c:v>Q1 2024</c:v>
                </c:pt>
                <c:pt idx="20">
                  <c:v>Q1 2025</c:v>
                </c:pt>
              </c:strCache>
            </c:strRef>
          </c:cat>
          <c:val>
            <c:numRef>
              <c:f>Model!$AY$4:$BU$4</c:f>
              <c:numCache>
                <c:formatCode>0</c:formatCode>
                <c:ptCount val="23"/>
                <c:pt idx="0">
                  <c:v>617.5</c:v>
                </c:pt>
                <c:pt idx="1">
                  <c:v>460.8</c:v>
                </c:pt>
                <c:pt idx="2">
                  <c:v>630.5</c:v>
                </c:pt>
                <c:pt idx="3">
                  <c:v>746.89999999999986</c:v>
                </c:pt>
                <c:pt idx="4">
                  <c:v>705.9</c:v>
                </c:pt>
                <c:pt idx="5">
                  <c:v>796.4</c:v>
                </c:pt>
                <c:pt idx="6">
                  <c:v>755.4</c:v>
                </c:pt>
                <c:pt idx="7">
                  <c:v>842.80000000000018</c:v>
                </c:pt>
                <c:pt idx="8">
                  <c:v>810.3</c:v>
                </c:pt>
                <c:pt idx="9">
                  <c:v>895.3</c:v>
                </c:pt>
                <c:pt idx="10">
                  <c:v>871.6</c:v>
                </c:pt>
                <c:pt idx="11">
                  <c:v>940.70000000000027</c:v>
                </c:pt>
                <c:pt idx="12">
                  <c:v>985.6</c:v>
                </c:pt>
                <c:pt idx="13">
                  <c:v>1075.9000000000001</c:v>
                </c:pt>
                <c:pt idx="14">
                  <c:v>1071.4000000000001</c:v>
                </c:pt>
                <c:pt idx="15">
                  <c:v>1143.7000000000003</c:v>
                </c:pt>
                <c:pt idx="16">
                  <c:v>1158.9000000000001</c:v>
                </c:pt>
                <c:pt idx="17">
                  <c:v>1244.4000000000001</c:v>
                </c:pt>
                <c:pt idx="18">
                  <c:v>1264.2</c:v>
                </c:pt>
                <c:pt idx="19">
                  <c:v>1411.5</c:v>
                </c:pt>
                <c:pt idx="20">
                  <c:v>1367.7</c:v>
                </c:pt>
                <c:pt idx="21">
                  <c:v>1474.1000000000001</c:v>
                </c:pt>
                <c:pt idx="22">
                  <c:v>1518.8</c:v>
                </c:pt>
              </c:numCache>
            </c:numRef>
          </c:val>
          <c:extLst>
            <c:ext xmlns:c16="http://schemas.microsoft.com/office/drawing/2014/chart" uri="{C3380CC4-5D6E-409C-BE32-E72D297353CC}">
              <c16:uniqueId val="{00000003-763E-43B3-B662-D76C6E829219}"/>
            </c:ext>
          </c:extLst>
        </c:ser>
        <c:dLbls>
          <c:showLegendKey val="0"/>
          <c:showVal val="0"/>
          <c:showCatName val="0"/>
          <c:showSerName val="0"/>
          <c:showPercent val="0"/>
          <c:showBubbleSize val="0"/>
        </c:dLbls>
        <c:gapWidth val="46"/>
        <c:overlap val="100"/>
        <c:axId val="826587039"/>
        <c:axId val="826586079"/>
      </c:barChart>
      <c:catAx>
        <c:axId val="8265870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6079"/>
        <c:crossesAt val="-10000"/>
        <c:auto val="1"/>
        <c:lblAlgn val="ctr"/>
        <c:lblOffset val="100"/>
        <c:noMultiLvlLbl val="0"/>
      </c:catAx>
      <c:valAx>
        <c:axId val="826586079"/>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7039"/>
        <c:crosses val="autoZero"/>
        <c:crossBetween val="between"/>
      </c:valAx>
      <c:spPr>
        <a:noFill/>
        <a:ln>
          <a:noFill/>
        </a:ln>
        <a:effectLst/>
      </c:spPr>
    </c:plotArea>
    <c:legend>
      <c:legendPos val="t"/>
      <c:layout>
        <c:manualLayout>
          <c:xMode val="edge"/>
          <c:yMode val="edge"/>
          <c:x val="0.12500001367016772"/>
          <c:y val="5.2058346839546202E-2"/>
          <c:w val="0.79166664388305374"/>
          <c:h val="0.10738353815983699"/>
        </c:manualLayout>
      </c:layout>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r>
              <a:rPr lang="en-US" sz="1400" b="0" i="0" u="none" strike="noStrike" kern="1200" spc="0" baseline="0">
                <a:solidFill>
                  <a:sysClr val="windowText" lastClr="000000">
                    <a:lumMod val="65000"/>
                    <a:lumOff val="35000"/>
                  </a:sysClr>
                </a:solidFill>
                <a:latin typeface="Calibre"/>
              </a:rPr>
              <a:t>(ISRG) Quarterly Ttl Revenues, Net Income, Free Cash Flows (in $ millions)</a:t>
            </a:r>
            <a:endParaRPr lang="en-US"/>
          </a:p>
        </c:rich>
      </c:tx>
      <c:overlay val="0"/>
      <c:spPr>
        <a:noFill/>
        <a:ln>
          <a:noFill/>
        </a:ln>
        <a:effectLst/>
      </c:spPr>
    </c:title>
    <c:autoTitleDeleted val="0"/>
    <c:plotArea>
      <c:layout>
        <c:manualLayout>
          <c:layoutTarget val="inner"/>
          <c:xMode val="edge"/>
          <c:yMode val="edge"/>
          <c:x val="9.6798377690229573E-2"/>
          <c:y val="0.11478174751218337"/>
          <c:w val="0.88242614721237911"/>
          <c:h val="0.75563693032380408"/>
        </c:manualLayout>
      </c:layout>
      <c:barChart>
        <c:barDir val="col"/>
        <c:grouping val="clustered"/>
        <c:varyColors val="0"/>
        <c:ser>
          <c:idx val="1"/>
          <c:order val="1"/>
          <c:tx>
            <c:v>Income</c:v>
          </c:tx>
          <c:spPr>
            <a:solidFill>
              <a:srgbClr val="00B050"/>
            </a:solidFill>
          </c:spPr>
          <c:invertIfNegative val="0"/>
          <c:cat>
            <c:strRef>
              <c:f>Model!$AY$1:$BT$1</c:f>
              <c:strCache>
                <c:ptCount val="21"/>
                <c:pt idx="0">
                  <c:v>Q1 2020</c:v>
                </c:pt>
                <c:pt idx="4">
                  <c:v>Q1 2021</c:v>
                </c:pt>
                <c:pt idx="8">
                  <c:v>Q1 2022</c:v>
                </c:pt>
                <c:pt idx="12">
                  <c:v>Q1 2023</c:v>
                </c:pt>
                <c:pt idx="16">
                  <c:v>Q1 2024</c:v>
                </c:pt>
                <c:pt idx="20">
                  <c:v>Q1 2025</c:v>
                </c:pt>
              </c:strCache>
            </c:strRef>
          </c:cat>
          <c:val>
            <c:numRef>
              <c:f>Model!$AY$27:$BU$27</c:f>
              <c:numCache>
                <c:formatCode>0</c:formatCode>
                <c:ptCount val="23"/>
                <c:pt idx="0">
                  <c:v>316</c:v>
                </c:pt>
                <c:pt idx="1">
                  <c:v>70.199999999999903</c:v>
                </c:pt>
                <c:pt idx="2">
                  <c:v>316.80000000000013</c:v>
                </c:pt>
                <c:pt idx="3">
                  <c:v>363.79999999999995</c:v>
                </c:pt>
                <c:pt idx="4">
                  <c:v>435.19999999999987</c:v>
                </c:pt>
                <c:pt idx="5">
                  <c:v>523</c:v>
                </c:pt>
                <c:pt idx="6">
                  <c:v>387.20000000000005</c:v>
                </c:pt>
                <c:pt idx="7">
                  <c:v>382.70000000000022</c:v>
                </c:pt>
                <c:pt idx="8">
                  <c:v>369.40000000000003</c:v>
                </c:pt>
                <c:pt idx="9">
                  <c:v>313.60000000000014</c:v>
                </c:pt>
                <c:pt idx="10">
                  <c:v>324.70000000000005</c:v>
                </c:pt>
                <c:pt idx="11">
                  <c:v>336.7000000000001</c:v>
                </c:pt>
                <c:pt idx="12">
                  <c:v>360.8</c:v>
                </c:pt>
                <c:pt idx="13">
                  <c:v>426.00000000000006</c:v>
                </c:pt>
                <c:pt idx="14">
                  <c:v>419.80000000000035</c:v>
                </c:pt>
                <c:pt idx="15">
                  <c:v>610.70000000000027</c:v>
                </c:pt>
                <c:pt idx="16">
                  <c:v>547.40000000000009</c:v>
                </c:pt>
                <c:pt idx="17">
                  <c:v>531.50000000000011</c:v>
                </c:pt>
                <c:pt idx="18">
                  <c:v>570.59999999999991</c:v>
                </c:pt>
                <c:pt idx="19">
                  <c:v>688.00000000000023</c:v>
                </c:pt>
                <c:pt idx="20">
                  <c:v>703.70000000000016</c:v>
                </c:pt>
                <c:pt idx="21">
                  <c:v>664.20000000000016</c:v>
                </c:pt>
                <c:pt idx="22">
                  <c:v>708.5999999999998</c:v>
                </c:pt>
              </c:numCache>
            </c:numRef>
          </c:val>
          <c:extLst>
            <c:ext xmlns:c16="http://schemas.microsoft.com/office/drawing/2014/chart" uri="{C3380CC4-5D6E-409C-BE32-E72D297353CC}">
              <c16:uniqueId val="{00000001-3646-4EF6-8D0F-B65629DF816B}"/>
            </c:ext>
          </c:extLst>
        </c:ser>
        <c:ser>
          <c:idx val="2"/>
          <c:order val="2"/>
          <c:tx>
            <c:v>FCF</c:v>
          </c:tx>
          <c:spPr>
            <a:solidFill>
              <a:srgbClr val="FFC000"/>
            </a:solidFill>
            <a:ln>
              <a:solidFill>
                <a:srgbClr val="F2B800"/>
              </a:solidFill>
            </a:ln>
          </c:spPr>
          <c:invertIfNegative val="0"/>
          <c:cat>
            <c:strRef>
              <c:f>Model!$AY$1:$BT$1</c:f>
              <c:strCache>
                <c:ptCount val="21"/>
                <c:pt idx="0">
                  <c:v>Q1 2020</c:v>
                </c:pt>
                <c:pt idx="4">
                  <c:v>Q1 2021</c:v>
                </c:pt>
                <c:pt idx="8">
                  <c:v>Q1 2022</c:v>
                </c:pt>
                <c:pt idx="12">
                  <c:v>Q1 2023</c:v>
                </c:pt>
                <c:pt idx="16">
                  <c:v>Q1 2024</c:v>
                </c:pt>
                <c:pt idx="20">
                  <c:v>Q1 2025</c:v>
                </c:pt>
              </c:strCache>
            </c:strRef>
          </c:cat>
          <c:val>
            <c:numRef>
              <c:f>Model!$AY$71:$BU$71</c:f>
              <c:numCache>
                <c:formatCode>0</c:formatCode>
                <c:ptCount val="23"/>
                <c:pt idx="0">
                  <c:v>247.60000000000002</c:v>
                </c:pt>
                <c:pt idx="1">
                  <c:v>119.9</c:v>
                </c:pt>
                <c:pt idx="2">
                  <c:v>210.20000000000002</c:v>
                </c:pt>
                <c:pt idx="3">
                  <c:v>565.6</c:v>
                </c:pt>
                <c:pt idx="4">
                  <c:v>419</c:v>
                </c:pt>
                <c:pt idx="5">
                  <c:v>467.00000000000006</c:v>
                </c:pt>
                <c:pt idx="6">
                  <c:v>433.09999999999997</c:v>
                </c:pt>
                <c:pt idx="7">
                  <c:v>430.80000000000007</c:v>
                </c:pt>
                <c:pt idx="8">
                  <c:v>129.4</c:v>
                </c:pt>
                <c:pt idx="9">
                  <c:v>316.2</c:v>
                </c:pt>
                <c:pt idx="10">
                  <c:v>214.1</c:v>
                </c:pt>
                <c:pt idx="11">
                  <c:v>298.7</c:v>
                </c:pt>
                <c:pt idx="12">
                  <c:v>177.29999999999998</c:v>
                </c:pt>
                <c:pt idx="13">
                  <c:v>487.40000000000003</c:v>
                </c:pt>
                <c:pt idx="14">
                  <c:v>292.09999999999997</c:v>
                </c:pt>
                <c:pt idx="15">
                  <c:v>-207.2</c:v>
                </c:pt>
                <c:pt idx="16">
                  <c:v>23.499999999999972</c:v>
                </c:pt>
                <c:pt idx="17">
                  <c:v>311.10000000000002</c:v>
                </c:pt>
                <c:pt idx="18">
                  <c:v>458.6</c:v>
                </c:pt>
                <c:pt idx="19">
                  <c:v>510.6</c:v>
                </c:pt>
                <c:pt idx="20">
                  <c:v>465</c:v>
                </c:pt>
                <c:pt idx="21">
                  <c:v>560.1</c:v>
                </c:pt>
                <c:pt idx="22">
                  <c:v>735.59999999999991</c:v>
                </c:pt>
              </c:numCache>
            </c:numRef>
          </c:val>
          <c:extLst>
            <c:ext xmlns:c16="http://schemas.microsoft.com/office/drawing/2014/chart" uri="{C3380CC4-5D6E-409C-BE32-E72D297353CC}">
              <c16:uniqueId val="{00000003-3646-4EF6-8D0F-B65629DF816B}"/>
            </c:ext>
          </c:extLst>
        </c:ser>
        <c:dLbls>
          <c:showLegendKey val="0"/>
          <c:showVal val="0"/>
          <c:showCatName val="0"/>
          <c:showSerName val="0"/>
          <c:showPercent val="0"/>
          <c:showBubbleSize val="0"/>
        </c:dLbls>
        <c:gapWidth val="57"/>
        <c:overlap val="-2"/>
        <c:axId val="1243124976"/>
        <c:axId val="1243123056"/>
      </c:barChart>
      <c:lineChart>
        <c:grouping val="standard"/>
        <c:varyColors val="0"/>
        <c:ser>
          <c:idx val="0"/>
          <c:order val="0"/>
          <c:tx>
            <c:v>Revenues</c:v>
          </c:tx>
          <c:spPr>
            <a:ln w="25400">
              <a:solidFill>
                <a:srgbClr val="00B0F0"/>
              </a:solidFill>
            </a:ln>
          </c:spPr>
          <c:marker>
            <c:symbol val="none"/>
          </c:marker>
          <c:cat>
            <c:strRef>
              <c:f>Model!$AY$1:$BT$1</c:f>
              <c:strCache>
                <c:ptCount val="21"/>
                <c:pt idx="0">
                  <c:v>Q1 2020</c:v>
                </c:pt>
                <c:pt idx="4">
                  <c:v>Q1 2021</c:v>
                </c:pt>
                <c:pt idx="8">
                  <c:v>Q1 2022</c:v>
                </c:pt>
                <c:pt idx="12">
                  <c:v>Q1 2023</c:v>
                </c:pt>
                <c:pt idx="16">
                  <c:v>Q1 2024</c:v>
                </c:pt>
                <c:pt idx="20">
                  <c:v>Q1 2025</c:v>
                </c:pt>
              </c:strCache>
            </c:strRef>
          </c:cat>
          <c:val>
            <c:numRef>
              <c:f>Model!$AY$18:$BU$18</c:f>
              <c:numCache>
                <c:formatCode>0</c:formatCode>
                <c:ptCount val="23"/>
                <c:pt idx="0">
                  <c:v>1099.5</c:v>
                </c:pt>
                <c:pt idx="1">
                  <c:v>852.09999999999991</c:v>
                </c:pt>
                <c:pt idx="2">
                  <c:v>1077.7</c:v>
                </c:pt>
                <c:pt idx="3">
                  <c:v>1329.1</c:v>
                </c:pt>
                <c:pt idx="4">
                  <c:v>1292.0999999999999</c:v>
                </c:pt>
                <c:pt idx="5">
                  <c:v>1464</c:v>
                </c:pt>
                <c:pt idx="6">
                  <c:v>1403.3</c:v>
                </c:pt>
                <c:pt idx="7">
                  <c:v>1550.7000000000003</c:v>
                </c:pt>
                <c:pt idx="8">
                  <c:v>1487.7</c:v>
                </c:pt>
                <c:pt idx="9">
                  <c:v>1522.1000000000001</c:v>
                </c:pt>
                <c:pt idx="10">
                  <c:v>1557.4</c:v>
                </c:pt>
                <c:pt idx="11">
                  <c:v>1655.0000000000005</c:v>
                </c:pt>
                <c:pt idx="12">
                  <c:v>1696.2</c:v>
                </c:pt>
                <c:pt idx="13">
                  <c:v>1755.9</c:v>
                </c:pt>
                <c:pt idx="14">
                  <c:v>1743.7000000000003</c:v>
                </c:pt>
                <c:pt idx="15">
                  <c:v>1928.3000000000002</c:v>
                </c:pt>
                <c:pt idx="16">
                  <c:v>1890.6000000000001</c:v>
                </c:pt>
                <c:pt idx="17">
                  <c:v>2009.9</c:v>
                </c:pt>
                <c:pt idx="18">
                  <c:v>2038.1</c:v>
                </c:pt>
                <c:pt idx="19">
                  <c:v>2413.5</c:v>
                </c:pt>
                <c:pt idx="20">
                  <c:v>2253.4</c:v>
                </c:pt>
                <c:pt idx="21">
                  <c:v>2440</c:v>
                </c:pt>
                <c:pt idx="22">
                  <c:v>2504.1999999999998</c:v>
                </c:pt>
              </c:numCache>
            </c:numRef>
          </c:val>
          <c:smooth val="0"/>
          <c:extLst>
            <c:ext xmlns:c16="http://schemas.microsoft.com/office/drawing/2014/chart" uri="{C3380CC4-5D6E-409C-BE32-E72D297353CC}">
              <c16:uniqueId val="{00000005-3646-4EF6-8D0F-B65629DF816B}"/>
            </c:ext>
          </c:extLst>
        </c:ser>
        <c:dLbls>
          <c:showLegendKey val="0"/>
          <c:showVal val="0"/>
          <c:showCatName val="0"/>
          <c:showSerName val="0"/>
          <c:showPercent val="0"/>
          <c:showBubbleSize val="0"/>
        </c:dLbls>
        <c:marker val="1"/>
        <c:smooth val="0"/>
        <c:axId val="1243124976"/>
        <c:axId val="1243123056"/>
      </c:lineChart>
      <c:dateAx>
        <c:axId val="1243124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low"/>
        <c:spPr>
          <a:noFill/>
          <a:ln w="9525" cap="flat" cmpd="sng" algn="ctr">
            <a:solidFill>
              <a:sysClr val="windowText" lastClr="000000"/>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3056"/>
        <c:crosses val="autoZero"/>
        <c:auto val="0"/>
        <c:lblOffset val="100"/>
        <c:baseTimeUnit val="days"/>
        <c:majorUnit val="1"/>
      </c:dateAx>
      <c:valAx>
        <c:axId val="1243123056"/>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4976"/>
        <c:crosses val="autoZero"/>
        <c:crossBetween val="between"/>
      </c:valAx>
      <c:spPr>
        <a:noFill/>
        <a:ln>
          <a:noFill/>
        </a:ln>
        <a:effectLst/>
      </c:spPr>
    </c:plotArea>
    <c:legend>
      <c:legendPos val="t"/>
      <c:layout>
        <c:manualLayout>
          <c:xMode val="edge"/>
          <c:yMode val="edge"/>
          <c:x val="0.23601803088279277"/>
          <c:y val="6.8226667462544965E-2"/>
          <c:w val="0.53831279215259631"/>
          <c:h val="3.4184204239573995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latin typeface="Calibre"/>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a:t>(ISRG) Historical Return Histogram +  Normal Distribution Overlay</a:t>
            </a:r>
          </a:p>
        </c:rich>
      </c:tx>
      <c:layout>
        <c:manualLayout>
          <c:xMode val="edge"/>
          <c:yMode val="edge"/>
          <c:x val="0.26993827160493827"/>
          <c:y val="9.084836817195378E-3"/>
        </c:manualLayout>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lotArea>
      <c:layout>
        <c:manualLayout>
          <c:layoutTarget val="inner"/>
          <c:xMode val="edge"/>
          <c:yMode val="edge"/>
          <c:x val="3.5764362787984838E-2"/>
          <c:y val="6.1527057344455703E-2"/>
          <c:w val="0.93313376105764534"/>
          <c:h val="0.87215756826816704"/>
        </c:manualLayout>
      </c:layout>
      <c:scatterChart>
        <c:scatterStyle val="smoothMarker"/>
        <c:varyColors val="0"/>
        <c:ser>
          <c:idx val="0"/>
          <c:order val="0"/>
          <c:tx>
            <c:strRef>
              <c:f>'Notes | Quant Analysis'!$I$187</c:f>
              <c:strCache>
                <c:ptCount val="1"/>
                <c:pt idx="0">
                  <c:v>Histogram Data</c:v>
                </c:pt>
              </c:strCache>
            </c:strRef>
          </c:tx>
          <c:spPr>
            <a:ln w="38100" cap="rnd">
              <a:noFill/>
              <a:round/>
            </a:ln>
            <a:effectLst/>
          </c:spPr>
          <c:marker>
            <c:symbol val="none"/>
          </c:marker>
          <c:errBars>
            <c:errDir val="y"/>
            <c:errBarType val="minus"/>
            <c:errValType val="percentage"/>
            <c:noEndCap val="1"/>
            <c:val val="100"/>
            <c:spPr>
              <a:noFill/>
              <a:ln w="165100" cap="flat" cmpd="sng" algn="ctr">
                <a:solidFill>
                  <a:srgbClr val="00B0F0"/>
                </a:solidFill>
                <a:round/>
              </a:ln>
              <a:effectLst/>
            </c:spPr>
          </c:errBars>
          <c:xVal>
            <c:numRef>
              <c:f>'Notes | Quant Analysis'!$I$189:$I$293</c:f>
              <c:numCache>
                <c:formatCode>0.00%</c:formatCode>
                <c:ptCount val="105"/>
                <c:pt idx="0">
                  <c:v>-5.1999999999999998E-2</c:v>
                </c:pt>
                <c:pt idx="1">
                  <c:v>-5.0999999999999997E-2</c:v>
                </c:pt>
                <c:pt idx="2">
                  <c:v>-0.05</c:v>
                </c:pt>
                <c:pt idx="3">
                  <c:v>-4.9000000000000002E-2</c:v>
                </c:pt>
                <c:pt idx="4">
                  <c:v>-4.8000000000000001E-2</c:v>
                </c:pt>
                <c:pt idx="5">
                  <c:v>-4.7E-2</c:v>
                </c:pt>
                <c:pt idx="6">
                  <c:v>-4.5999999999999999E-2</c:v>
                </c:pt>
                <c:pt idx="7">
                  <c:v>-4.4999999999999998E-2</c:v>
                </c:pt>
                <c:pt idx="8">
                  <c:v>-4.3999999999999997E-2</c:v>
                </c:pt>
                <c:pt idx="9">
                  <c:v>-4.2999999999999997E-2</c:v>
                </c:pt>
                <c:pt idx="10">
                  <c:v>-4.1999999999999996E-2</c:v>
                </c:pt>
                <c:pt idx="11">
                  <c:v>-4.0999999999999995E-2</c:v>
                </c:pt>
                <c:pt idx="12">
                  <c:v>-0.04</c:v>
                </c:pt>
                <c:pt idx="13">
                  <c:v>-3.9E-2</c:v>
                </c:pt>
                <c:pt idx="14">
                  <c:v>-3.7999999999999999E-2</c:v>
                </c:pt>
                <c:pt idx="15">
                  <c:v>-3.6999999999999998E-2</c:v>
                </c:pt>
                <c:pt idx="16">
                  <c:v>-3.5999999999999997E-2</c:v>
                </c:pt>
                <c:pt idx="17">
                  <c:v>-3.4999999999999996E-2</c:v>
                </c:pt>
                <c:pt idx="18">
                  <c:v>-3.3999999999999996E-2</c:v>
                </c:pt>
                <c:pt idx="19">
                  <c:v>-3.2999999999999995E-2</c:v>
                </c:pt>
                <c:pt idx="20">
                  <c:v>-3.1999999999999994E-2</c:v>
                </c:pt>
                <c:pt idx="21">
                  <c:v>-3.0999999999999993E-2</c:v>
                </c:pt>
                <c:pt idx="22">
                  <c:v>-2.9999999999999992E-2</c:v>
                </c:pt>
                <c:pt idx="23">
                  <c:v>-2.8999999999999991E-2</c:v>
                </c:pt>
                <c:pt idx="24">
                  <c:v>-2.799999999999999E-2</c:v>
                </c:pt>
                <c:pt idx="25">
                  <c:v>-2.6999999999999989E-2</c:v>
                </c:pt>
                <c:pt idx="26">
                  <c:v>-2.5999999999999988E-2</c:v>
                </c:pt>
                <c:pt idx="27">
                  <c:v>-2.4999999999999988E-2</c:v>
                </c:pt>
                <c:pt idx="28">
                  <c:v>-2.3999999999999987E-2</c:v>
                </c:pt>
                <c:pt idx="29">
                  <c:v>-2.2999999999999986E-2</c:v>
                </c:pt>
                <c:pt idx="30">
                  <c:v>-2.1999999999999985E-2</c:v>
                </c:pt>
                <c:pt idx="31">
                  <c:v>-2.0999999999999984E-2</c:v>
                </c:pt>
                <c:pt idx="32">
                  <c:v>-1.9999999999999983E-2</c:v>
                </c:pt>
                <c:pt idx="33">
                  <c:v>-1.8999999999999982E-2</c:v>
                </c:pt>
                <c:pt idx="34">
                  <c:v>-1.7999999999999981E-2</c:v>
                </c:pt>
                <c:pt idx="35">
                  <c:v>-1.699999999999998E-2</c:v>
                </c:pt>
                <c:pt idx="36">
                  <c:v>-1.599999999999998E-2</c:v>
                </c:pt>
                <c:pt idx="37">
                  <c:v>-1.4999999999999979E-2</c:v>
                </c:pt>
                <c:pt idx="38">
                  <c:v>-1.3999999999999978E-2</c:v>
                </c:pt>
                <c:pt idx="39">
                  <c:v>-1.2999999999999977E-2</c:v>
                </c:pt>
                <c:pt idx="40">
                  <c:v>-1.1999999999999976E-2</c:v>
                </c:pt>
                <c:pt idx="41">
                  <c:v>-1.0999999999999975E-2</c:v>
                </c:pt>
                <c:pt idx="42">
                  <c:v>-9.9999999999999742E-3</c:v>
                </c:pt>
                <c:pt idx="43">
                  <c:v>-8.9999999999999733E-3</c:v>
                </c:pt>
                <c:pt idx="44">
                  <c:v>-7.9999999999999724E-3</c:v>
                </c:pt>
                <c:pt idx="45">
                  <c:v>-6.9999999999999724E-3</c:v>
                </c:pt>
                <c:pt idx="46">
                  <c:v>-5.9999999999999724E-3</c:v>
                </c:pt>
                <c:pt idx="47">
                  <c:v>-4.9999999999999723E-3</c:v>
                </c:pt>
                <c:pt idx="48">
                  <c:v>-3.9999999999999723E-3</c:v>
                </c:pt>
                <c:pt idx="49">
                  <c:v>-2.9999999999999723E-3</c:v>
                </c:pt>
                <c:pt idx="50">
                  <c:v>-1.9999999999999723E-3</c:v>
                </c:pt>
                <c:pt idx="51">
                  <c:v>-9.9999999999997227E-4</c:v>
                </c:pt>
                <c:pt idx="52">
                  <c:v>2.7755575615628914E-17</c:v>
                </c:pt>
                <c:pt idx="53">
                  <c:v>1.0000000000000278E-3</c:v>
                </c:pt>
                <c:pt idx="54">
                  <c:v>2.0000000000000278E-3</c:v>
                </c:pt>
                <c:pt idx="55">
                  <c:v>3.0000000000000278E-3</c:v>
                </c:pt>
                <c:pt idx="56">
                  <c:v>4.0000000000000278E-3</c:v>
                </c:pt>
                <c:pt idx="57">
                  <c:v>5.0000000000000279E-3</c:v>
                </c:pt>
                <c:pt idx="58">
                  <c:v>6.0000000000000279E-3</c:v>
                </c:pt>
                <c:pt idx="59">
                  <c:v>7.0000000000000279E-3</c:v>
                </c:pt>
                <c:pt idx="60">
                  <c:v>8.0000000000000279E-3</c:v>
                </c:pt>
                <c:pt idx="61">
                  <c:v>9.0000000000000288E-3</c:v>
                </c:pt>
                <c:pt idx="62">
                  <c:v>1.000000000000003E-2</c:v>
                </c:pt>
                <c:pt idx="63">
                  <c:v>1.1000000000000031E-2</c:v>
                </c:pt>
                <c:pt idx="64">
                  <c:v>1.2000000000000031E-2</c:v>
                </c:pt>
                <c:pt idx="65">
                  <c:v>1.3000000000000032E-2</c:v>
                </c:pt>
                <c:pt idx="66">
                  <c:v>1.4000000000000033E-2</c:v>
                </c:pt>
                <c:pt idx="67">
                  <c:v>1.5000000000000034E-2</c:v>
                </c:pt>
                <c:pt idx="68">
                  <c:v>1.6000000000000035E-2</c:v>
                </c:pt>
                <c:pt idx="69">
                  <c:v>1.7000000000000036E-2</c:v>
                </c:pt>
                <c:pt idx="70">
                  <c:v>1.8000000000000037E-2</c:v>
                </c:pt>
                <c:pt idx="71">
                  <c:v>1.9000000000000038E-2</c:v>
                </c:pt>
                <c:pt idx="72">
                  <c:v>2.0000000000000039E-2</c:v>
                </c:pt>
                <c:pt idx="73">
                  <c:v>2.1000000000000039E-2</c:v>
                </c:pt>
                <c:pt idx="74">
                  <c:v>2.200000000000004E-2</c:v>
                </c:pt>
                <c:pt idx="75">
                  <c:v>2.3000000000000041E-2</c:v>
                </c:pt>
                <c:pt idx="76">
                  <c:v>2.4000000000000042E-2</c:v>
                </c:pt>
                <c:pt idx="77">
                  <c:v>2.5000000000000043E-2</c:v>
                </c:pt>
                <c:pt idx="78">
                  <c:v>2.6000000000000044E-2</c:v>
                </c:pt>
                <c:pt idx="79">
                  <c:v>2.7000000000000045E-2</c:v>
                </c:pt>
                <c:pt idx="80">
                  <c:v>2.8000000000000046E-2</c:v>
                </c:pt>
                <c:pt idx="81">
                  <c:v>2.9000000000000047E-2</c:v>
                </c:pt>
                <c:pt idx="82">
                  <c:v>3.0000000000000047E-2</c:v>
                </c:pt>
                <c:pt idx="83">
                  <c:v>3.1000000000000048E-2</c:v>
                </c:pt>
                <c:pt idx="84">
                  <c:v>3.2000000000000049E-2</c:v>
                </c:pt>
                <c:pt idx="85">
                  <c:v>3.300000000000005E-2</c:v>
                </c:pt>
                <c:pt idx="86">
                  <c:v>3.4000000000000051E-2</c:v>
                </c:pt>
                <c:pt idx="87">
                  <c:v>3.5000000000000052E-2</c:v>
                </c:pt>
                <c:pt idx="88">
                  <c:v>3.6000000000000053E-2</c:v>
                </c:pt>
                <c:pt idx="89">
                  <c:v>3.7000000000000054E-2</c:v>
                </c:pt>
                <c:pt idx="90">
                  <c:v>3.8000000000000055E-2</c:v>
                </c:pt>
                <c:pt idx="91">
                  <c:v>3.9000000000000055E-2</c:v>
                </c:pt>
                <c:pt idx="92">
                  <c:v>4.0000000000000056E-2</c:v>
                </c:pt>
                <c:pt idx="93">
                  <c:v>4.1000000000000057E-2</c:v>
                </c:pt>
                <c:pt idx="94">
                  <c:v>4.2000000000000058E-2</c:v>
                </c:pt>
                <c:pt idx="95">
                  <c:v>4.3000000000000059E-2</c:v>
                </c:pt>
                <c:pt idx="96">
                  <c:v>4.400000000000006E-2</c:v>
                </c:pt>
                <c:pt idx="97">
                  <c:v>4.5000000000000061E-2</c:v>
                </c:pt>
                <c:pt idx="98">
                  <c:v>4.6000000000000062E-2</c:v>
                </c:pt>
                <c:pt idx="99">
                  <c:v>4.7000000000000063E-2</c:v>
                </c:pt>
                <c:pt idx="100">
                  <c:v>4.8000000000000063E-2</c:v>
                </c:pt>
                <c:pt idx="101">
                  <c:v>4.9000000000000064E-2</c:v>
                </c:pt>
                <c:pt idx="102">
                  <c:v>5.0000000000000065E-2</c:v>
                </c:pt>
                <c:pt idx="103">
                  <c:v>5.1000000000000066E-2</c:v>
                </c:pt>
                <c:pt idx="104">
                  <c:v>5.2000000000000067E-2</c:v>
                </c:pt>
              </c:numCache>
            </c:numRef>
          </c:xVal>
          <c:yVal>
            <c:numRef>
              <c:f>'Notes | Quant Analysis'!$J$189:$J$293</c:f>
              <c:numCache>
                <c:formatCode>General</c:formatCode>
                <c:ptCount val="105"/>
                <c:pt idx="0">
                  <c:v>4</c:v>
                </c:pt>
                <c:pt idx="1">
                  <c:v>1</c:v>
                </c:pt>
                <c:pt idx="2">
                  <c:v>0</c:v>
                </c:pt>
                <c:pt idx="3">
                  <c:v>3</c:v>
                </c:pt>
                <c:pt idx="4">
                  <c:v>1</c:v>
                </c:pt>
                <c:pt idx="5">
                  <c:v>1</c:v>
                </c:pt>
                <c:pt idx="6">
                  <c:v>0</c:v>
                </c:pt>
                <c:pt idx="7">
                  <c:v>1</c:v>
                </c:pt>
                <c:pt idx="8">
                  <c:v>0</c:v>
                </c:pt>
                <c:pt idx="9">
                  <c:v>1</c:v>
                </c:pt>
                <c:pt idx="10">
                  <c:v>1</c:v>
                </c:pt>
                <c:pt idx="11">
                  <c:v>0</c:v>
                </c:pt>
                <c:pt idx="12">
                  <c:v>2</c:v>
                </c:pt>
                <c:pt idx="13">
                  <c:v>1</c:v>
                </c:pt>
                <c:pt idx="14">
                  <c:v>1</c:v>
                </c:pt>
                <c:pt idx="15">
                  <c:v>4</c:v>
                </c:pt>
                <c:pt idx="16">
                  <c:v>6</c:v>
                </c:pt>
                <c:pt idx="17">
                  <c:v>0</c:v>
                </c:pt>
                <c:pt idx="18">
                  <c:v>1</c:v>
                </c:pt>
                <c:pt idx="19">
                  <c:v>2</c:v>
                </c:pt>
                <c:pt idx="20">
                  <c:v>3</c:v>
                </c:pt>
                <c:pt idx="21">
                  <c:v>7</c:v>
                </c:pt>
                <c:pt idx="22">
                  <c:v>3</c:v>
                </c:pt>
                <c:pt idx="23">
                  <c:v>6</c:v>
                </c:pt>
                <c:pt idx="24">
                  <c:v>9</c:v>
                </c:pt>
                <c:pt idx="25">
                  <c:v>5</c:v>
                </c:pt>
                <c:pt idx="26">
                  <c:v>8</c:v>
                </c:pt>
                <c:pt idx="27">
                  <c:v>8</c:v>
                </c:pt>
                <c:pt idx="28">
                  <c:v>9</c:v>
                </c:pt>
                <c:pt idx="29">
                  <c:v>2</c:v>
                </c:pt>
                <c:pt idx="30">
                  <c:v>15</c:v>
                </c:pt>
                <c:pt idx="31">
                  <c:v>10</c:v>
                </c:pt>
                <c:pt idx="32">
                  <c:v>10</c:v>
                </c:pt>
                <c:pt idx="33">
                  <c:v>7</c:v>
                </c:pt>
                <c:pt idx="34">
                  <c:v>12</c:v>
                </c:pt>
                <c:pt idx="35">
                  <c:v>13</c:v>
                </c:pt>
                <c:pt idx="36">
                  <c:v>10</c:v>
                </c:pt>
                <c:pt idx="37">
                  <c:v>11</c:v>
                </c:pt>
                <c:pt idx="38">
                  <c:v>11</c:v>
                </c:pt>
                <c:pt idx="39">
                  <c:v>9</c:v>
                </c:pt>
                <c:pt idx="40">
                  <c:v>19</c:v>
                </c:pt>
                <c:pt idx="41">
                  <c:v>26</c:v>
                </c:pt>
                <c:pt idx="42">
                  <c:v>18</c:v>
                </c:pt>
                <c:pt idx="43">
                  <c:v>22</c:v>
                </c:pt>
                <c:pt idx="44">
                  <c:v>24</c:v>
                </c:pt>
                <c:pt idx="45">
                  <c:v>30</c:v>
                </c:pt>
                <c:pt idx="46">
                  <c:v>31</c:v>
                </c:pt>
                <c:pt idx="47">
                  <c:v>40</c:v>
                </c:pt>
                <c:pt idx="48">
                  <c:v>32</c:v>
                </c:pt>
                <c:pt idx="49">
                  <c:v>48</c:v>
                </c:pt>
                <c:pt idx="50">
                  <c:v>35</c:v>
                </c:pt>
                <c:pt idx="51">
                  <c:v>25</c:v>
                </c:pt>
                <c:pt idx="52">
                  <c:v>41</c:v>
                </c:pt>
                <c:pt idx="53">
                  <c:v>30</c:v>
                </c:pt>
                <c:pt idx="54">
                  <c:v>44</c:v>
                </c:pt>
                <c:pt idx="55">
                  <c:v>49</c:v>
                </c:pt>
                <c:pt idx="56">
                  <c:v>32</c:v>
                </c:pt>
                <c:pt idx="57">
                  <c:v>39</c:v>
                </c:pt>
                <c:pt idx="58">
                  <c:v>52</c:v>
                </c:pt>
                <c:pt idx="59">
                  <c:v>35</c:v>
                </c:pt>
                <c:pt idx="60">
                  <c:v>26</c:v>
                </c:pt>
                <c:pt idx="61">
                  <c:v>23</c:v>
                </c:pt>
                <c:pt idx="62">
                  <c:v>31</c:v>
                </c:pt>
                <c:pt idx="63">
                  <c:v>28</c:v>
                </c:pt>
                <c:pt idx="64">
                  <c:v>19</c:v>
                </c:pt>
                <c:pt idx="65">
                  <c:v>22</c:v>
                </c:pt>
                <c:pt idx="66">
                  <c:v>26</c:v>
                </c:pt>
                <c:pt idx="67">
                  <c:v>19</c:v>
                </c:pt>
                <c:pt idx="68">
                  <c:v>14</c:v>
                </c:pt>
                <c:pt idx="69">
                  <c:v>13</c:v>
                </c:pt>
                <c:pt idx="70">
                  <c:v>21</c:v>
                </c:pt>
                <c:pt idx="71">
                  <c:v>18</c:v>
                </c:pt>
                <c:pt idx="72">
                  <c:v>16</c:v>
                </c:pt>
                <c:pt idx="73">
                  <c:v>13</c:v>
                </c:pt>
                <c:pt idx="74">
                  <c:v>7</c:v>
                </c:pt>
                <c:pt idx="75">
                  <c:v>5</c:v>
                </c:pt>
                <c:pt idx="76">
                  <c:v>7</c:v>
                </c:pt>
                <c:pt idx="77">
                  <c:v>5</c:v>
                </c:pt>
                <c:pt idx="78">
                  <c:v>6</c:v>
                </c:pt>
                <c:pt idx="79">
                  <c:v>3</c:v>
                </c:pt>
                <c:pt idx="80">
                  <c:v>10</c:v>
                </c:pt>
                <c:pt idx="81">
                  <c:v>2</c:v>
                </c:pt>
                <c:pt idx="82">
                  <c:v>5</c:v>
                </c:pt>
                <c:pt idx="83">
                  <c:v>3</c:v>
                </c:pt>
                <c:pt idx="84">
                  <c:v>5</c:v>
                </c:pt>
                <c:pt idx="85">
                  <c:v>2</c:v>
                </c:pt>
                <c:pt idx="86">
                  <c:v>3</c:v>
                </c:pt>
                <c:pt idx="87">
                  <c:v>2</c:v>
                </c:pt>
                <c:pt idx="88">
                  <c:v>3</c:v>
                </c:pt>
                <c:pt idx="89">
                  <c:v>3</c:v>
                </c:pt>
                <c:pt idx="90">
                  <c:v>3</c:v>
                </c:pt>
                <c:pt idx="91">
                  <c:v>2</c:v>
                </c:pt>
                <c:pt idx="92">
                  <c:v>2</c:v>
                </c:pt>
                <c:pt idx="93">
                  <c:v>1</c:v>
                </c:pt>
                <c:pt idx="94">
                  <c:v>0</c:v>
                </c:pt>
                <c:pt idx="95">
                  <c:v>0</c:v>
                </c:pt>
                <c:pt idx="96">
                  <c:v>2</c:v>
                </c:pt>
                <c:pt idx="97">
                  <c:v>0</c:v>
                </c:pt>
                <c:pt idx="98">
                  <c:v>2</c:v>
                </c:pt>
                <c:pt idx="99">
                  <c:v>0</c:v>
                </c:pt>
                <c:pt idx="100">
                  <c:v>1</c:v>
                </c:pt>
                <c:pt idx="101">
                  <c:v>0</c:v>
                </c:pt>
                <c:pt idx="102">
                  <c:v>1</c:v>
                </c:pt>
                <c:pt idx="103">
                  <c:v>1</c:v>
                </c:pt>
                <c:pt idx="104">
                  <c:v>1</c:v>
                </c:pt>
              </c:numCache>
            </c:numRef>
          </c:yVal>
          <c:smooth val="1"/>
          <c:extLst>
            <c:ext xmlns:c16="http://schemas.microsoft.com/office/drawing/2014/chart" uri="{C3380CC4-5D6E-409C-BE32-E72D297353CC}">
              <c16:uniqueId val="{00000000-28C7-4862-86E9-AF862A5BA0AD}"/>
            </c:ext>
          </c:extLst>
        </c:ser>
        <c:ser>
          <c:idx val="1"/>
          <c:order val="1"/>
          <c:tx>
            <c:strRef>
              <c:f>'Notes | Quant Analysis'!$L$187</c:f>
              <c:strCache>
                <c:ptCount val="1"/>
                <c:pt idx="0">
                  <c:v>Distribution Overlay</c:v>
                </c:pt>
              </c:strCache>
            </c:strRef>
          </c:tx>
          <c:spPr>
            <a:ln w="19050" cap="rnd">
              <a:solidFill>
                <a:srgbClr val="FFC000"/>
              </a:solidFill>
              <a:round/>
            </a:ln>
            <a:effectLst/>
          </c:spPr>
          <c:marker>
            <c:symbol val="none"/>
          </c:marker>
          <c:xVal>
            <c:numRef>
              <c:f>'Notes | Quant Analysis'!$L$189:$L$295</c:f>
              <c:numCache>
                <c:formatCode>0.00%</c:formatCode>
                <c:ptCount val="107"/>
                <c:pt idx="0">
                  <c:v>-5.2999999999999999E-2</c:v>
                </c:pt>
                <c:pt idx="1">
                  <c:v>-5.1999999999999998E-2</c:v>
                </c:pt>
                <c:pt idx="2">
                  <c:v>-5.0999999999999997E-2</c:v>
                </c:pt>
                <c:pt idx="3">
                  <c:v>-0.05</c:v>
                </c:pt>
                <c:pt idx="4">
                  <c:v>-4.9000000000000002E-2</c:v>
                </c:pt>
                <c:pt idx="5">
                  <c:v>-4.8000000000000001E-2</c:v>
                </c:pt>
                <c:pt idx="6">
                  <c:v>-4.7E-2</c:v>
                </c:pt>
                <c:pt idx="7">
                  <c:v>-4.5999999999999999E-2</c:v>
                </c:pt>
                <c:pt idx="8">
                  <c:v>-4.4999999999999998E-2</c:v>
                </c:pt>
                <c:pt idx="9">
                  <c:v>-4.3999999999999997E-2</c:v>
                </c:pt>
                <c:pt idx="10">
                  <c:v>-4.2999999999999997E-2</c:v>
                </c:pt>
                <c:pt idx="11">
                  <c:v>-4.1999999999999996E-2</c:v>
                </c:pt>
                <c:pt idx="12">
                  <c:v>-4.0999999999999995E-2</c:v>
                </c:pt>
                <c:pt idx="13">
                  <c:v>-0.04</c:v>
                </c:pt>
                <c:pt idx="14">
                  <c:v>-3.9E-2</c:v>
                </c:pt>
                <c:pt idx="15">
                  <c:v>-3.7999999999999999E-2</c:v>
                </c:pt>
                <c:pt idx="16">
                  <c:v>-3.6999999999999998E-2</c:v>
                </c:pt>
                <c:pt idx="17">
                  <c:v>-3.5999999999999997E-2</c:v>
                </c:pt>
                <c:pt idx="18">
                  <c:v>-3.4999999999999996E-2</c:v>
                </c:pt>
                <c:pt idx="19">
                  <c:v>-3.3999999999999996E-2</c:v>
                </c:pt>
                <c:pt idx="20">
                  <c:v>-3.2999999999999995E-2</c:v>
                </c:pt>
                <c:pt idx="21">
                  <c:v>-3.1999999999999994E-2</c:v>
                </c:pt>
                <c:pt idx="22">
                  <c:v>-3.0999999999999993E-2</c:v>
                </c:pt>
                <c:pt idx="23">
                  <c:v>-2.9999999999999992E-2</c:v>
                </c:pt>
                <c:pt idx="24">
                  <c:v>-2.8999999999999991E-2</c:v>
                </c:pt>
                <c:pt idx="25">
                  <c:v>-2.799999999999999E-2</c:v>
                </c:pt>
                <c:pt idx="26">
                  <c:v>-2.6999999999999989E-2</c:v>
                </c:pt>
                <c:pt idx="27">
                  <c:v>-2.5999999999999988E-2</c:v>
                </c:pt>
                <c:pt idx="28">
                  <c:v>-2.4999999999999988E-2</c:v>
                </c:pt>
                <c:pt idx="29">
                  <c:v>-2.3999999999999987E-2</c:v>
                </c:pt>
                <c:pt idx="30">
                  <c:v>-2.2999999999999986E-2</c:v>
                </c:pt>
                <c:pt idx="31">
                  <c:v>-2.1999999999999985E-2</c:v>
                </c:pt>
                <c:pt idx="32">
                  <c:v>-2.0999999999999984E-2</c:v>
                </c:pt>
                <c:pt idx="33">
                  <c:v>-1.9999999999999983E-2</c:v>
                </c:pt>
                <c:pt idx="34">
                  <c:v>-1.8999999999999982E-2</c:v>
                </c:pt>
                <c:pt idx="35">
                  <c:v>-1.7999999999999981E-2</c:v>
                </c:pt>
                <c:pt idx="36">
                  <c:v>-1.699999999999998E-2</c:v>
                </c:pt>
                <c:pt idx="37">
                  <c:v>-1.599999999999998E-2</c:v>
                </c:pt>
                <c:pt idx="38">
                  <c:v>-1.4999999999999979E-2</c:v>
                </c:pt>
                <c:pt idx="39">
                  <c:v>-1.3999999999999978E-2</c:v>
                </c:pt>
                <c:pt idx="40">
                  <c:v>-1.2999999999999977E-2</c:v>
                </c:pt>
                <c:pt idx="41">
                  <c:v>-1.1999999999999976E-2</c:v>
                </c:pt>
                <c:pt idx="42">
                  <c:v>-1.0999999999999975E-2</c:v>
                </c:pt>
                <c:pt idx="43">
                  <c:v>-9.9999999999999742E-3</c:v>
                </c:pt>
                <c:pt idx="44">
                  <c:v>-8.9999999999999733E-3</c:v>
                </c:pt>
                <c:pt idx="45">
                  <c:v>-7.9999999999999724E-3</c:v>
                </c:pt>
                <c:pt idx="46">
                  <c:v>-6.9999999999999724E-3</c:v>
                </c:pt>
                <c:pt idx="47">
                  <c:v>-5.9999999999999724E-3</c:v>
                </c:pt>
                <c:pt idx="48">
                  <c:v>-4.9999999999999723E-3</c:v>
                </c:pt>
                <c:pt idx="49">
                  <c:v>-3.9999999999999723E-3</c:v>
                </c:pt>
                <c:pt idx="50">
                  <c:v>-2.9999999999999723E-3</c:v>
                </c:pt>
                <c:pt idx="51">
                  <c:v>-1.9999999999999723E-3</c:v>
                </c:pt>
                <c:pt idx="52">
                  <c:v>-9.9999999999997227E-4</c:v>
                </c:pt>
                <c:pt idx="53">
                  <c:v>2.7755575615628914E-17</c:v>
                </c:pt>
                <c:pt idx="54">
                  <c:v>1.0000000000000278E-3</c:v>
                </c:pt>
                <c:pt idx="55">
                  <c:v>2.0000000000000278E-3</c:v>
                </c:pt>
                <c:pt idx="56">
                  <c:v>3.0000000000000278E-3</c:v>
                </c:pt>
                <c:pt idx="57">
                  <c:v>4.0000000000000278E-3</c:v>
                </c:pt>
                <c:pt idx="58">
                  <c:v>5.0000000000000279E-3</c:v>
                </c:pt>
                <c:pt idx="59">
                  <c:v>6.0000000000000279E-3</c:v>
                </c:pt>
                <c:pt idx="60">
                  <c:v>7.0000000000000279E-3</c:v>
                </c:pt>
                <c:pt idx="61">
                  <c:v>8.0000000000000279E-3</c:v>
                </c:pt>
                <c:pt idx="62">
                  <c:v>9.0000000000000288E-3</c:v>
                </c:pt>
                <c:pt idx="63">
                  <c:v>1.000000000000003E-2</c:v>
                </c:pt>
                <c:pt idx="64">
                  <c:v>1.1000000000000031E-2</c:v>
                </c:pt>
                <c:pt idx="65">
                  <c:v>1.2000000000000031E-2</c:v>
                </c:pt>
                <c:pt idx="66">
                  <c:v>1.3000000000000032E-2</c:v>
                </c:pt>
                <c:pt idx="67">
                  <c:v>1.4000000000000033E-2</c:v>
                </c:pt>
                <c:pt idx="68">
                  <c:v>1.5000000000000034E-2</c:v>
                </c:pt>
                <c:pt idx="69">
                  <c:v>1.6000000000000035E-2</c:v>
                </c:pt>
                <c:pt idx="70">
                  <c:v>1.7000000000000036E-2</c:v>
                </c:pt>
                <c:pt idx="71">
                  <c:v>1.8000000000000037E-2</c:v>
                </c:pt>
                <c:pt idx="72">
                  <c:v>1.9000000000000038E-2</c:v>
                </c:pt>
                <c:pt idx="73">
                  <c:v>2.0000000000000039E-2</c:v>
                </c:pt>
                <c:pt idx="74">
                  <c:v>2.1000000000000039E-2</c:v>
                </c:pt>
                <c:pt idx="75">
                  <c:v>2.200000000000004E-2</c:v>
                </c:pt>
                <c:pt idx="76">
                  <c:v>2.3000000000000041E-2</c:v>
                </c:pt>
                <c:pt idx="77">
                  <c:v>2.4000000000000042E-2</c:v>
                </c:pt>
                <c:pt idx="78">
                  <c:v>2.5000000000000043E-2</c:v>
                </c:pt>
                <c:pt idx="79">
                  <c:v>2.6000000000000044E-2</c:v>
                </c:pt>
                <c:pt idx="80">
                  <c:v>2.7000000000000045E-2</c:v>
                </c:pt>
                <c:pt idx="81">
                  <c:v>2.8000000000000046E-2</c:v>
                </c:pt>
                <c:pt idx="82">
                  <c:v>2.9000000000000047E-2</c:v>
                </c:pt>
                <c:pt idx="83">
                  <c:v>3.0000000000000047E-2</c:v>
                </c:pt>
                <c:pt idx="84">
                  <c:v>3.1000000000000048E-2</c:v>
                </c:pt>
                <c:pt idx="85">
                  <c:v>3.2000000000000049E-2</c:v>
                </c:pt>
                <c:pt idx="86">
                  <c:v>3.300000000000005E-2</c:v>
                </c:pt>
                <c:pt idx="87">
                  <c:v>3.4000000000000051E-2</c:v>
                </c:pt>
                <c:pt idx="88">
                  <c:v>3.5000000000000052E-2</c:v>
                </c:pt>
                <c:pt idx="89">
                  <c:v>3.6000000000000053E-2</c:v>
                </c:pt>
                <c:pt idx="90">
                  <c:v>3.7000000000000054E-2</c:v>
                </c:pt>
                <c:pt idx="91">
                  <c:v>3.8000000000000055E-2</c:v>
                </c:pt>
                <c:pt idx="92">
                  <c:v>3.9000000000000055E-2</c:v>
                </c:pt>
                <c:pt idx="93">
                  <c:v>4.0000000000000056E-2</c:v>
                </c:pt>
                <c:pt idx="94">
                  <c:v>4.1000000000000057E-2</c:v>
                </c:pt>
                <c:pt idx="95">
                  <c:v>4.2000000000000058E-2</c:v>
                </c:pt>
                <c:pt idx="96">
                  <c:v>4.3000000000000059E-2</c:v>
                </c:pt>
                <c:pt idx="97">
                  <c:v>4.400000000000006E-2</c:v>
                </c:pt>
                <c:pt idx="98">
                  <c:v>4.5000000000000061E-2</c:v>
                </c:pt>
                <c:pt idx="99">
                  <c:v>4.6000000000000062E-2</c:v>
                </c:pt>
                <c:pt idx="100">
                  <c:v>4.7000000000000063E-2</c:v>
                </c:pt>
                <c:pt idx="101">
                  <c:v>4.8000000000000063E-2</c:v>
                </c:pt>
                <c:pt idx="102">
                  <c:v>4.9000000000000064E-2</c:v>
                </c:pt>
                <c:pt idx="103">
                  <c:v>5.0000000000000065E-2</c:v>
                </c:pt>
                <c:pt idx="104">
                  <c:v>5.1000000000000066E-2</c:v>
                </c:pt>
                <c:pt idx="105">
                  <c:v>5.2000000000000067E-2</c:v>
                </c:pt>
                <c:pt idx="106">
                  <c:v>5.3000000000000068E-2</c:v>
                </c:pt>
              </c:numCache>
            </c:numRef>
          </c:xVal>
          <c:yVal>
            <c:numRef>
              <c:f>'Notes | Quant Analysis'!$M$189:$M$295</c:f>
              <c:numCache>
                <c:formatCode>0.0000</c:formatCode>
                <c:ptCount val="107"/>
                <c:pt idx="0">
                  <c:v>0.1800007099063255</c:v>
                </c:pt>
                <c:pt idx="1">
                  <c:v>0.2155465119347951</c:v>
                </c:pt>
                <c:pt idx="2">
                  <c:v>0.25723482452772384</c:v>
                </c:pt>
                <c:pt idx="3">
                  <c:v>0.30594299189306229</c:v>
                </c:pt>
                <c:pt idx="4">
                  <c:v>0.36263793932633254</c:v>
                </c:pt>
                <c:pt idx="5">
                  <c:v>0.42837877975613653</c:v>
                </c:pt>
                <c:pt idx="6">
                  <c:v>0.50431820193818278</c:v>
                </c:pt>
                <c:pt idx="7">
                  <c:v>0.59170238415941578</c:v>
                </c:pt>
                <c:pt idx="8">
                  <c:v>0.6918691685525008</c:v>
                </c:pt>
                <c:pt idx="9">
                  <c:v>0.80624422858369704</c:v>
                </c:pt>
                <c:pt idx="10">
                  <c:v>0.93633496716090259</c:v>
                </c:pt>
                <c:pt idx="11">
                  <c:v>1.0837218962490622</c:v>
                </c:pt>
                <c:pt idx="12">
                  <c:v>1.2500472718950482</c:v>
                </c:pt>
                <c:pt idx="13">
                  <c:v>1.4370007919930305</c:v>
                </c:pt>
                <c:pt idx="14">
                  <c:v>1.6463022085610108</c:v>
                </c:pt>
                <c:pt idx="15">
                  <c:v>1.8796807620410629</c:v>
                </c:pt>
                <c:pt idx="16">
                  <c:v>2.1388514121052036</c:v>
                </c:pt>
                <c:pt idx="17">
                  <c:v>2.4254879171513513</c:v>
                </c:pt>
                <c:pt idx="18">
                  <c:v>2.7411929021522479</c:v>
                </c:pt>
                <c:pt idx="19">
                  <c:v>3.0874651503234265</c:v>
                </c:pt>
                <c:pt idx="20">
                  <c:v>3.4656644562477865</c:v>
                </c:pt>
                <c:pt idx="21">
                  <c:v>3.876974484177885</c:v>
                </c:pt>
                <c:pt idx="22">
                  <c:v>4.3223641823080801</c:v>
                </c:pt>
                <c:pt idx="23">
                  <c:v>4.8025484085267554</c:v>
                </c:pt>
                <c:pt idx="24">
                  <c:v>5.3179485218481579</c:v>
                </c:pt>
                <c:pt idx="25">
                  <c:v>5.8686537824745599</c:v>
                </c:pt>
                <c:pt idx="26">
                  <c:v>6.4543844782370741</c:v>
                </c:pt>
                <c:pt idx="27">
                  <c:v>7.0744577520300105</c:v>
                </c:pt>
                <c:pt idx="28">
                  <c:v>7.7277571400114731</c:v>
                </c:pt>
                <c:pt idx="29">
                  <c:v>8.4127068403824463</c:v>
                </c:pt>
                <c:pt idx="30">
                  <c:v>9.1272517146098799</c:v>
                </c:pt>
                <c:pt idx="31">
                  <c:v>9.8688439748654204</c:v>
                </c:pt>
                <c:pt idx="32">
                  <c:v>10.634437431911428</c:v>
                </c:pt>
                <c:pt idx="33">
                  <c:v>11.420490066371958</c:v>
                </c:pt>
                <c:pt idx="34">
                  <c:v>12.222975544066331</c:v>
                </c:pt>
                <c:pt idx="35">
                  <c:v>13.037404124800897</c:v>
                </c:pt>
                <c:pt idx="36">
                  <c:v>13.858853216834421</c:v>
                </c:pt>
                <c:pt idx="37">
                  <c:v>14.682007610429313</c:v>
                </c:pt>
                <c:pt idx="38">
                  <c:v>15.501209188821909</c:v>
                </c:pt>
                <c:pt idx="39">
                  <c:v>16.310515669883486</c:v>
                </c:pt>
                <c:pt idx="40">
                  <c:v>17.103767683758068</c:v>
                </c:pt>
                <c:pt idx="41">
                  <c:v>17.87466324845861</c:v>
                </c:pt>
                <c:pt idx="42">
                  <c:v>18.616838474671699</c:v>
                </c:pt>
                <c:pt idx="43">
                  <c:v>19.32395312075646</c:v>
                </c:pt>
                <c:pt idx="44">
                  <c:v>19.989779436720944</c:v>
                </c:pt>
                <c:pt idx="45">
                  <c:v>20.608292588809146</c:v>
                </c:pt>
                <c:pt idx="46">
                  <c:v>21.173760850327437</c:v>
                </c:pt>
                <c:pt idx="47">
                  <c:v>21.680833684403964</c:v>
                </c:pt>
                <c:pt idx="48">
                  <c:v>22.12462583403245</c:v>
                </c:pt>
                <c:pt idx="49">
                  <c:v>22.500795575939094</c:v>
                </c:pt>
                <c:pt idx="50">
                  <c:v>22.805615387756635</c:v>
                </c:pt>
                <c:pt idx="51">
                  <c:v>23.03603342115029</c:v>
                </c:pt>
                <c:pt idx="52">
                  <c:v>23.189724363620044</c:v>
                </c:pt>
                <c:pt idx="53">
                  <c:v>23.265128503734072</c:v>
                </c:pt>
                <c:pt idx="54">
                  <c:v>23.261478082045755</c:v>
                </c:pt>
                <c:pt idx="55">
                  <c:v>23.178810305132682</c:v>
                </c:pt>
                <c:pt idx="56">
                  <c:v>23.017966714271594</c:v>
                </c:pt>
                <c:pt idx="57">
                  <c:v>22.780578923729529</c:v>
                </c:pt>
                <c:pt idx="58">
                  <c:v>22.469041066661635</c:v>
                </c:pt>
                <c:pt idx="59">
                  <c:v>22.086469599328872</c:v>
                </c:pt>
                <c:pt idx="60">
                  <c:v>21.636651407336565</c:v>
                </c:pt>
                <c:pt idx="61">
                  <c:v>21.123981422129361</c:v>
                </c:pt>
                <c:pt idx="62">
                  <c:v>20.553391184389771</c:v>
                </c:pt>
                <c:pt idx="63">
                  <c:v>19.93026997692381</c:v>
                </c:pt>
                <c:pt idx="64">
                  <c:v>19.260380288259082</c:v>
                </c:pt>
                <c:pt idx="65">
                  <c:v>18.549769456390205</c:v>
                </c:pt>
                <c:pt idx="66">
                  <c:v>17.804679378506165</c:v>
                </c:pt>
                <c:pt idx="67">
                  <c:v>17.031456157511911</c:v>
                </c:pt>
                <c:pt idx="68">
                  <c:v>16.23646149180313</c:v>
                </c:pt>
                <c:pt idx="69">
                  <c:v>15.425987504728331</c:v>
                </c:pt>
                <c:pt idx="70">
                  <c:v>14.606176559519362</c:v>
                </c:pt>
                <c:pt idx="71">
                  <c:v>13.782947420377253</c:v>
                </c:pt>
                <c:pt idx="72">
                  <c:v>12.961928907923628</c:v>
                </c:pt>
                <c:pt idx="73">
                  <c:v>12.148401965004703</c:v>
                </c:pt>
                <c:pt idx="74">
                  <c:v>11.347250804770601</c:v>
                </c:pt>
                <c:pt idx="75">
                  <c:v>10.562923564925194</c:v>
                </c:pt>
                <c:pt idx="76">
                  <c:v>9.799402647615123</c:v>
                </c:pt>
                <c:pt idx="77">
                  <c:v>9.0601846905986836</c:v>
                </c:pt>
                <c:pt idx="78">
                  <c:v>8.3482698983176462</c:v>
                </c:pt>
                <c:pt idx="79">
                  <c:v>7.6661602665412465</c:v>
                </c:pt>
                <c:pt idx="80">
                  <c:v>7.0158660655332872</c:v>
                </c:pt>
                <c:pt idx="81">
                  <c:v>6.398919807224984</c:v>
                </c:pt>
                <c:pt idx="82">
                  <c:v>5.8163968134951025</c:v>
                </c:pt>
                <c:pt idx="83">
                  <c:v>5.2689414260473972</c:v>
                </c:pt>
                <c:pt idx="84">
                  <c:v>4.7567978531301014</c:v>
                </c:pt>
                <c:pt idx="85">
                  <c:v>4.2798446330787181</c:v>
                </c:pt>
                <c:pt idx="86">
                  <c:v>3.8376317071487382</c:v>
                </c:pt>
                <c:pt idx="87">
                  <c:v>3.4294191314140887</c:v>
                </c:pt>
                <c:pt idx="88">
                  <c:v>3.0542165161897912</c:v>
                </c:pt>
                <c:pt idx="89">
                  <c:v>2.7108223576896098</c:v>
                </c:pt>
                <c:pt idx="90">
                  <c:v>2.3978625164647771</c:v>
                </c:pt>
                <c:pt idx="91">
                  <c:v>2.1138271965759174</c:v>
                </c:pt>
                <c:pt idx="92">
                  <c:v>1.8571058845348578</c:v>
                </c:pt>
                <c:pt idx="93">
                  <c:v>1.6260198141669071</c:v>
                </c:pt>
                <c:pt idx="94">
                  <c:v>1.418851629382655</c:v>
                </c:pt>
                <c:pt idx="95">
                  <c:v>1.2338720185277707</c:v>
                </c:pt>
                <c:pt idx="96">
                  <c:v>1.0693631890891333</c:v>
                </c:pt>
                <c:pt idx="97">
                  <c:v>0.9236391381654725</c:v>
                </c:pt>
                <c:pt idx="98">
                  <c:v>0.79506275085633216</c:v>
                </c:pt>
                <c:pt idx="99">
                  <c:v>0.68205982467105875</c:v>
                </c:pt>
                <c:pt idx="100">
                  <c:v>0.58313017275629186</c:v>
                </c:pt>
                <c:pt idx="101">
                  <c:v>0.49685600214745534</c:v>
                </c:pt>
                <c:pt idx="102">
                  <c:v>0.42190779568910525</c:v>
                </c:pt>
                <c:pt idx="103">
                  <c:v>0.35704794836275289</c:v>
                </c:pt>
                <c:pt idx="104">
                  <c:v>0.30113242136722834</c:v>
                </c:pt>
                <c:pt idx="105">
                  <c:v>0.25311068144724874</c:v>
                </c:pt>
                <c:pt idx="106">
                  <c:v>0.21202418980405702</c:v>
                </c:pt>
              </c:numCache>
            </c:numRef>
          </c:yVal>
          <c:smooth val="1"/>
          <c:extLst>
            <c:ext xmlns:c16="http://schemas.microsoft.com/office/drawing/2014/chart" uri="{C3380CC4-5D6E-409C-BE32-E72D297353CC}">
              <c16:uniqueId val="{00000001-28C7-4862-86E9-AF862A5BA0AD}"/>
            </c:ext>
          </c:extLst>
        </c:ser>
        <c:ser>
          <c:idx val="2"/>
          <c:order val="2"/>
          <c:tx>
            <c:strRef>
              <c:f>'Notes | Quant Analysis'!$O$189</c:f>
              <c:strCache>
                <c:ptCount val="1"/>
                <c:pt idx="0">
                  <c:v>Mean</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2-28C7-4862-86E9-AF862A5BA0AD}"/>
                </c:ext>
              </c:extLst>
            </c:dLbl>
            <c:dLbl>
              <c:idx val="1"/>
              <c:layout>
                <c:manualLayout>
                  <c:x val="-5.3073325810093365E-2"/>
                  <c:y val="-5.8032382739642896E-2"/>
                </c:manualLayout>
              </c:layout>
              <c:spPr>
                <a:noFill/>
                <a:ln>
                  <a:noFill/>
                </a:ln>
                <a:effectLst/>
              </c:spPr>
              <c:txPr>
                <a:bodyPr rot="0" spcFirstLastPara="1" vertOverflow="ellipsis" vert="horz" wrap="square" lIns="38100" tIns="19050" rIns="38100" bIns="19050" anchor="ctr" anchorCtr="1">
                  <a:no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15:layout>
                    <c:manualLayout>
                      <c:w val="9.7926326628355251E-2"/>
                      <c:h val="7.7448362996124329E-2"/>
                    </c:manualLayout>
                  </c15:layout>
                </c:ext>
                <c:ext xmlns:c16="http://schemas.microsoft.com/office/drawing/2014/chart" uri="{C3380CC4-5D6E-409C-BE32-E72D297353CC}">
                  <c16:uniqueId val="{00000003-28C7-4862-86E9-AF862A5BA0AD}"/>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Analysis'!$P$189:$P$190</c:f>
              <c:numCache>
                <c:formatCode>0.00%</c:formatCode>
                <c:ptCount val="2"/>
                <c:pt idx="0">
                  <c:v>4.5389199025156152E-4</c:v>
                </c:pt>
                <c:pt idx="1">
                  <c:v>4.5389199025156152E-4</c:v>
                </c:pt>
              </c:numCache>
            </c:numRef>
          </c:xVal>
          <c:yVal>
            <c:numRef>
              <c:f>'Notes | Quant Analysis'!$Q$189:$Q$190</c:f>
              <c:numCache>
                <c:formatCode>General</c:formatCode>
                <c:ptCount val="2"/>
                <c:pt idx="0">
                  <c:v>0</c:v>
                </c:pt>
                <c:pt idx="1">
                  <c:v>23.5</c:v>
                </c:pt>
              </c:numCache>
            </c:numRef>
          </c:yVal>
          <c:smooth val="1"/>
          <c:extLst>
            <c:ext xmlns:c16="http://schemas.microsoft.com/office/drawing/2014/chart" uri="{C3380CC4-5D6E-409C-BE32-E72D297353CC}">
              <c16:uniqueId val="{00000004-28C7-4862-86E9-AF862A5BA0AD}"/>
            </c:ext>
          </c:extLst>
        </c:ser>
        <c:ser>
          <c:idx val="3"/>
          <c:order val="3"/>
          <c:tx>
            <c:strRef>
              <c:f>'Notes | Quant Analysis'!$O$191</c:f>
              <c:strCache>
                <c:ptCount val="1"/>
                <c:pt idx="0">
                  <c:v>-3σ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5-28C7-4862-86E9-AF862A5BA0AD}"/>
                </c:ext>
              </c:extLst>
            </c:dLbl>
            <c:dLbl>
              <c:idx val="1"/>
              <c:layout>
                <c:manualLayout>
                  <c:x val="-3.6681689276232068E-2"/>
                  <c:y val="-4.9260013450189245E-2"/>
                </c:manualLayout>
              </c:layout>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6-28C7-4862-86E9-AF862A5BA0A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Analysis'!$P$191:$P$192</c:f>
              <c:numCache>
                <c:formatCode>0.0%</c:formatCode>
                <c:ptCount val="2"/>
                <c:pt idx="0">
                  <c:v>-5.0971026949679032E-2</c:v>
                </c:pt>
                <c:pt idx="1">
                  <c:v>-5.0971026949679032E-2</c:v>
                </c:pt>
              </c:numCache>
            </c:numRef>
          </c:xVal>
          <c:yVal>
            <c:numRef>
              <c:f>'Notes | Quant Analysis'!$Q$191:$Q$192</c:f>
              <c:numCache>
                <c:formatCode>General</c:formatCode>
                <c:ptCount val="2"/>
                <c:pt idx="0">
                  <c:v>0</c:v>
                </c:pt>
                <c:pt idx="1">
                  <c:v>2</c:v>
                </c:pt>
              </c:numCache>
            </c:numRef>
          </c:yVal>
          <c:smooth val="1"/>
          <c:extLst>
            <c:ext xmlns:c16="http://schemas.microsoft.com/office/drawing/2014/chart" uri="{C3380CC4-5D6E-409C-BE32-E72D297353CC}">
              <c16:uniqueId val="{00000007-28C7-4862-86E9-AF862A5BA0AD}"/>
            </c:ext>
          </c:extLst>
        </c:ser>
        <c:ser>
          <c:idx val="4"/>
          <c:order val="4"/>
          <c:tx>
            <c:strRef>
              <c:f>'Notes | Quant Analysis'!$O$193</c:f>
              <c:strCache>
                <c:ptCount val="1"/>
                <c:pt idx="0">
                  <c:v>-2σ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8-28C7-4862-86E9-AF862A5BA0AD}"/>
                </c:ext>
              </c:extLst>
            </c:dLbl>
            <c:dLbl>
              <c:idx val="1"/>
              <c:layout>
                <c:manualLayout>
                  <c:x val="-5.1390016462917479E-2"/>
                  <c:y val="-5.7729179430604016E-2"/>
                </c:manualLayout>
              </c:layout>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9-28C7-4862-86E9-AF862A5BA0A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Analysis'!$P$193:$P$194</c:f>
              <c:numCache>
                <c:formatCode>0.0%</c:formatCode>
                <c:ptCount val="2"/>
                <c:pt idx="0">
                  <c:v>-3.3829387303035502E-2</c:v>
                </c:pt>
                <c:pt idx="1">
                  <c:v>-3.3829387303035502E-2</c:v>
                </c:pt>
              </c:numCache>
            </c:numRef>
          </c:xVal>
          <c:yVal>
            <c:numRef>
              <c:f>'Notes | Quant Analysis'!$Q$193:$Q$194</c:f>
              <c:numCache>
                <c:formatCode>General</c:formatCode>
                <c:ptCount val="2"/>
                <c:pt idx="0">
                  <c:v>0</c:v>
                </c:pt>
                <c:pt idx="1">
                  <c:v>4</c:v>
                </c:pt>
              </c:numCache>
            </c:numRef>
          </c:yVal>
          <c:smooth val="1"/>
          <c:extLst>
            <c:ext xmlns:c16="http://schemas.microsoft.com/office/drawing/2014/chart" uri="{C3380CC4-5D6E-409C-BE32-E72D297353CC}">
              <c16:uniqueId val="{0000000A-28C7-4862-86E9-AF862A5BA0AD}"/>
            </c:ext>
          </c:extLst>
        </c:ser>
        <c:ser>
          <c:idx val="5"/>
          <c:order val="5"/>
          <c:tx>
            <c:strRef>
              <c:f>'Notes | Quant Analysis'!$O$195</c:f>
              <c:strCache>
                <c:ptCount val="1"/>
                <c:pt idx="0">
                  <c:v>-1σ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B-28C7-4862-86E9-AF862A5BA0AD}"/>
                </c:ext>
              </c:extLst>
            </c:dLbl>
            <c:dLbl>
              <c:idx val="1"/>
              <c:layout>
                <c:manualLayout>
                  <c:x val="-6.0703138332464997E-2"/>
                  <c:y val="-6.6566085970575881E-2"/>
                </c:manualLayout>
              </c:layout>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C-28C7-4862-86E9-AF862A5BA0A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Analysis'!$P$195:$P$196</c:f>
              <c:numCache>
                <c:formatCode>0.0%</c:formatCode>
                <c:ptCount val="2"/>
                <c:pt idx="0">
                  <c:v>-1.6687747656391968E-2</c:v>
                </c:pt>
                <c:pt idx="1">
                  <c:v>-1.6687747656391968E-2</c:v>
                </c:pt>
              </c:numCache>
            </c:numRef>
          </c:xVal>
          <c:yVal>
            <c:numRef>
              <c:f>'Notes | Quant Analysis'!$Q$195:$Q$196</c:f>
              <c:numCache>
                <c:formatCode>General</c:formatCode>
                <c:ptCount val="2"/>
                <c:pt idx="0">
                  <c:v>0</c:v>
                </c:pt>
                <c:pt idx="1">
                  <c:v>14</c:v>
                </c:pt>
              </c:numCache>
            </c:numRef>
          </c:yVal>
          <c:smooth val="1"/>
          <c:extLst>
            <c:ext xmlns:c16="http://schemas.microsoft.com/office/drawing/2014/chart" uri="{C3380CC4-5D6E-409C-BE32-E72D297353CC}">
              <c16:uniqueId val="{0000000D-28C7-4862-86E9-AF862A5BA0AD}"/>
            </c:ext>
          </c:extLst>
        </c:ser>
        <c:ser>
          <c:idx val="6"/>
          <c:order val="6"/>
          <c:tx>
            <c:strRef>
              <c:f>'Notes | Quant Analysis'!$O$197</c:f>
              <c:strCache>
                <c:ptCount val="1"/>
                <c:pt idx="0">
                  <c:v>1σ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E-28C7-4862-86E9-AF862A5BA0AD}"/>
                </c:ext>
              </c:extLst>
            </c:dLbl>
            <c:dLbl>
              <c:idx val="1"/>
              <c:layout>
                <c:manualLayout>
                  <c:x val="-3.0297474991910663E-2"/>
                  <c:y val="-5.7729179430604016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0-EE2D-40A7-A22D-BAD8FA8D64DC}"/>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Analysis'!$P$197:$P$198</c:f>
              <c:numCache>
                <c:formatCode>0.0%</c:formatCode>
                <c:ptCount val="2"/>
                <c:pt idx="0">
                  <c:v>1.7595531636895093E-2</c:v>
                </c:pt>
                <c:pt idx="1">
                  <c:v>1.7595531636895093E-2</c:v>
                </c:pt>
              </c:numCache>
            </c:numRef>
          </c:xVal>
          <c:yVal>
            <c:numRef>
              <c:f>'Notes | Quant Analysis'!$Q$197:$Q$198</c:f>
              <c:numCache>
                <c:formatCode>General</c:formatCode>
                <c:ptCount val="2"/>
                <c:pt idx="0">
                  <c:v>0</c:v>
                </c:pt>
                <c:pt idx="1">
                  <c:v>14</c:v>
                </c:pt>
              </c:numCache>
            </c:numRef>
          </c:yVal>
          <c:smooth val="1"/>
          <c:extLst>
            <c:ext xmlns:c16="http://schemas.microsoft.com/office/drawing/2014/chart" uri="{C3380CC4-5D6E-409C-BE32-E72D297353CC}">
              <c16:uniqueId val="{0000000F-28C7-4862-86E9-AF862A5BA0AD}"/>
            </c:ext>
          </c:extLst>
        </c:ser>
        <c:ser>
          <c:idx val="7"/>
          <c:order val="7"/>
          <c:tx>
            <c:strRef>
              <c:f>'Notes | Quant Analysis'!$O$199</c:f>
              <c:strCache>
                <c:ptCount val="1"/>
                <c:pt idx="0">
                  <c:v>2σ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0-28C7-4862-86E9-AF862A5BA0AD}"/>
                </c:ext>
              </c:extLst>
            </c:dLbl>
            <c:dLbl>
              <c:idx val="1"/>
              <c:layout>
                <c:manualLayout>
                  <c:x val="-3.1034411717040536E-2"/>
                  <c:y val="-5.3457891966382343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1-28C7-4862-86E9-AF862A5BA0AD}"/>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Analysis'!$P$199:$P$200</c:f>
              <c:numCache>
                <c:formatCode>0.0%</c:formatCode>
                <c:ptCount val="2"/>
                <c:pt idx="0">
                  <c:v>3.473717128353862E-2</c:v>
                </c:pt>
                <c:pt idx="1">
                  <c:v>3.473717128353862E-2</c:v>
                </c:pt>
              </c:numCache>
            </c:numRef>
          </c:xVal>
          <c:yVal>
            <c:numRef>
              <c:f>'Notes | Quant Analysis'!$Q$199:$Q$200</c:f>
              <c:numCache>
                <c:formatCode>General</c:formatCode>
                <c:ptCount val="2"/>
                <c:pt idx="0">
                  <c:v>0</c:v>
                </c:pt>
                <c:pt idx="1">
                  <c:v>4</c:v>
                </c:pt>
              </c:numCache>
            </c:numRef>
          </c:yVal>
          <c:smooth val="1"/>
          <c:extLst>
            <c:ext xmlns:c16="http://schemas.microsoft.com/office/drawing/2014/chart" uri="{C3380CC4-5D6E-409C-BE32-E72D297353CC}">
              <c16:uniqueId val="{00000012-28C7-4862-86E9-AF862A5BA0AD}"/>
            </c:ext>
          </c:extLst>
        </c:ser>
        <c:ser>
          <c:idx val="8"/>
          <c:order val="8"/>
          <c:tx>
            <c:strRef>
              <c:f>'Notes | Quant Analysis'!$O$201</c:f>
              <c:strCache>
                <c:ptCount val="1"/>
                <c:pt idx="0">
                  <c:v>3σ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3-28C7-4862-86E9-AF862A5BA0AD}"/>
                </c:ext>
              </c:extLst>
            </c:dLbl>
            <c:dLbl>
              <c:idx val="1"/>
              <c:layout>
                <c:manualLayout>
                  <c:x val="-3.7263945307374549E-2"/>
                  <c:y val="-2.8866938105819522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4-28C7-4862-86E9-AF862A5BA0AD}"/>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Analysis'!$P$201:$P$202</c:f>
              <c:numCache>
                <c:formatCode>0.0%</c:formatCode>
                <c:ptCount val="2"/>
                <c:pt idx="0">
                  <c:v>5.1878810930182151E-2</c:v>
                </c:pt>
                <c:pt idx="1">
                  <c:v>5.1878810930182151E-2</c:v>
                </c:pt>
              </c:numCache>
            </c:numRef>
          </c:xVal>
          <c:yVal>
            <c:numRef>
              <c:f>'Notes | Quant Analysis'!$Q$201:$Q$202</c:f>
              <c:numCache>
                <c:formatCode>General</c:formatCode>
                <c:ptCount val="2"/>
                <c:pt idx="0">
                  <c:v>0</c:v>
                </c:pt>
                <c:pt idx="1">
                  <c:v>2</c:v>
                </c:pt>
              </c:numCache>
            </c:numRef>
          </c:yVal>
          <c:smooth val="1"/>
          <c:extLst>
            <c:ext xmlns:c16="http://schemas.microsoft.com/office/drawing/2014/chart" uri="{C3380CC4-5D6E-409C-BE32-E72D297353CC}">
              <c16:uniqueId val="{00000015-28C7-4862-86E9-AF862A5BA0AD}"/>
            </c:ext>
          </c:extLst>
        </c:ser>
        <c:dLbls>
          <c:showLegendKey val="0"/>
          <c:showVal val="0"/>
          <c:showCatName val="0"/>
          <c:showSerName val="0"/>
          <c:showPercent val="0"/>
          <c:showBubbleSize val="0"/>
        </c:dLbls>
        <c:axId val="1274098191"/>
        <c:axId val="1274092911"/>
      </c:scatterChart>
      <c:valAx>
        <c:axId val="1274098191"/>
        <c:scaling>
          <c:orientation val="minMax"/>
          <c:max val="6.0000000000000012E-2"/>
          <c:min val="-6.0000000000000012E-2"/>
        </c:scaling>
        <c:delete val="0"/>
        <c:axPos val="b"/>
        <c:majorGridlines>
          <c:spPr>
            <a:ln w="9525" cap="flat" cmpd="sng" algn="ctr">
              <a:solidFill>
                <a:schemeClr val="tx1">
                  <a:lumMod val="15000"/>
                  <a:lumOff val="85000"/>
                </a:schemeClr>
              </a:solidFill>
              <a:round/>
            </a:ln>
            <a:effectLst/>
          </c:spPr>
        </c:majorGridlines>
        <c:numFmt formatCode="0.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4092911"/>
        <c:crossesAt val="0"/>
        <c:crossBetween val="midCat"/>
        <c:majorUnit val="1.0000000000000002E-2"/>
        <c:minorUnit val="2.5000000000000005E-3"/>
      </c:valAx>
      <c:valAx>
        <c:axId val="1274092911"/>
        <c:scaling>
          <c:orientation val="minMax"/>
          <c:min val="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4098191"/>
        <c:crossesAt val="-1000"/>
        <c:crossBetween val="midCat"/>
      </c:valAx>
      <c:spPr>
        <a:noFill/>
        <a:ln>
          <a:noFill/>
        </a:ln>
        <a:effectLst/>
      </c:spPr>
    </c:plotArea>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8" Type="http://schemas.openxmlformats.org/officeDocument/2006/relationships/image" Target="../media/image6.png"/><Relationship Id="rId3" Type="http://schemas.openxmlformats.org/officeDocument/2006/relationships/image" Target="../media/image2.png"/><Relationship Id="rId7" Type="http://schemas.openxmlformats.org/officeDocument/2006/relationships/image" Target="../media/image5.png"/><Relationship Id="rId12" Type="http://schemas.openxmlformats.org/officeDocument/2006/relationships/image" Target="../media/image10.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4.png"/><Relationship Id="rId11" Type="http://schemas.openxmlformats.org/officeDocument/2006/relationships/image" Target="../media/image9.png"/><Relationship Id="rId5" Type="http://schemas.openxmlformats.org/officeDocument/2006/relationships/chart" Target="../charts/chart3.xml"/><Relationship Id="rId10" Type="http://schemas.openxmlformats.org/officeDocument/2006/relationships/image" Target="../media/image8.png"/><Relationship Id="rId4" Type="http://schemas.openxmlformats.org/officeDocument/2006/relationships/image" Target="../media/image3.png"/><Relationship Id="rId9"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editAs="oneCell">
    <xdr:from>
      <xdr:col>7</xdr:col>
      <xdr:colOff>11206</xdr:colOff>
      <xdr:row>4</xdr:row>
      <xdr:rowOff>11205</xdr:rowOff>
    </xdr:from>
    <xdr:to>
      <xdr:col>10</xdr:col>
      <xdr:colOff>0</xdr:colOff>
      <xdr:row>9</xdr:row>
      <xdr:rowOff>179293</xdr:rowOff>
    </xdr:to>
    <xdr:pic>
      <xdr:nvPicPr>
        <xdr:cNvPr id="2" name="Picture 1">
          <a:extLst>
            <a:ext uri="{FF2B5EF4-FFF2-40B4-BE49-F238E27FC236}">
              <a16:creationId xmlns:a16="http://schemas.microsoft.com/office/drawing/2014/main" id="{DBBF514E-EBC6-FE10-5E42-0FF8712FCE0C}"/>
            </a:ext>
          </a:extLst>
        </xdr:cNvPr>
        <xdr:cNvPicPr>
          <a:picLocks noChangeAspect="1"/>
        </xdr:cNvPicPr>
      </xdr:nvPicPr>
      <xdr:blipFill>
        <a:blip xmlns:r="http://schemas.openxmlformats.org/officeDocument/2006/relationships" r:embed="rId1"/>
        <a:stretch>
          <a:fillRect/>
        </a:stretch>
      </xdr:blipFill>
      <xdr:spPr>
        <a:xfrm>
          <a:off x="4437530" y="761999"/>
          <a:ext cx="1804146" cy="106455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73</xdr:col>
      <xdr:colOff>4763</xdr:colOff>
      <xdr:row>0</xdr:row>
      <xdr:rowOff>0</xdr:rowOff>
    </xdr:from>
    <xdr:to>
      <xdr:col>73</xdr:col>
      <xdr:colOff>4763</xdr:colOff>
      <xdr:row>95</xdr:row>
      <xdr:rowOff>152400</xdr:rowOff>
    </xdr:to>
    <xdr:cxnSp macro="">
      <xdr:nvCxnSpPr>
        <xdr:cNvPr id="2" name="Straight Connector 1">
          <a:extLst>
            <a:ext uri="{FF2B5EF4-FFF2-40B4-BE49-F238E27FC236}">
              <a16:creationId xmlns:a16="http://schemas.microsoft.com/office/drawing/2014/main" id="{1D82459E-58B3-42DB-9684-9D533E1F9712}"/>
            </a:ext>
          </a:extLst>
        </xdr:cNvPr>
        <xdr:cNvCxnSpPr/>
      </xdr:nvCxnSpPr>
      <xdr:spPr>
        <a:xfrm>
          <a:off x="45612704" y="0"/>
          <a:ext cx="0" cy="1728619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90</xdr:col>
      <xdr:colOff>0</xdr:colOff>
      <xdr:row>0</xdr:row>
      <xdr:rowOff>0</xdr:rowOff>
    </xdr:from>
    <xdr:to>
      <xdr:col>90</xdr:col>
      <xdr:colOff>0</xdr:colOff>
      <xdr:row>94</xdr:row>
      <xdr:rowOff>76200</xdr:rowOff>
    </xdr:to>
    <xdr:cxnSp macro="">
      <xdr:nvCxnSpPr>
        <xdr:cNvPr id="3" name="Straight Connector 2">
          <a:extLst>
            <a:ext uri="{FF2B5EF4-FFF2-40B4-BE49-F238E27FC236}">
              <a16:creationId xmlns:a16="http://schemas.microsoft.com/office/drawing/2014/main" id="{1001E5F4-1B9E-487D-83F1-747CF5EB542B}"/>
            </a:ext>
          </a:extLst>
        </xdr:cNvPr>
        <xdr:cNvCxnSpPr/>
      </xdr:nvCxnSpPr>
      <xdr:spPr>
        <a:xfrm>
          <a:off x="64208025" y="0"/>
          <a:ext cx="0" cy="235172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3.xml><?xml version="1.0" encoding="utf-8"?>
<xdr:wsDr xmlns:xdr="http://schemas.openxmlformats.org/drawingml/2006/spreadsheetDrawing" xmlns:a="http://schemas.openxmlformats.org/drawingml/2006/main">
  <xdr:twoCellAnchor>
    <xdr:from>
      <xdr:col>8</xdr:col>
      <xdr:colOff>0</xdr:colOff>
      <xdr:row>70</xdr:row>
      <xdr:rowOff>190499</xdr:rowOff>
    </xdr:from>
    <xdr:to>
      <xdr:col>23</xdr:col>
      <xdr:colOff>0</xdr:colOff>
      <xdr:row>101</xdr:row>
      <xdr:rowOff>180974</xdr:rowOff>
    </xdr:to>
    <xdr:graphicFrame macro="">
      <xdr:nvGraphicFramePr>
        <xdr:cNvPr id="2" name="Chart 1">
          <a:extLst>
            <a:ext uri="{FF2B5EF4-FFF2-40B4-BE49-F238E27FC236}">
              <a16:creationId xmlns:a16="http://schemas.microsoft.com/office/drawing/2014/main" id="{142CD92D-8EF4-4572-94B5-6164D39572D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107</xdr:row>
      <xdr:rowOff>0</xdr:rowOff>
    </xdr:from>
    <xdr:to>
      <xdr:col>23</xdr:col>
      <xdr:colOff>0</xdr:colOff>
      <xdr:row>135</xdr:row>
      <xdr:rowOff>0</xdr:rowOff>
    </xdr:to>
    <xdr:graphicFrame macro="">
      <xdr:nvGraphicFramePr>
        <xdr:cNvPr id="3" name="Chart 2">
          <a:extLst>
            <a:ext uri="{FF2B5EF4-FFF2-40B4-BE49-F238E27FC236}">
              <a16:creationId xmlns:a16="http://schemas.microsoft.com/office/drawing/2014/main" id="{211860B7-2944-492B-8E4C-F0D96D28C36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8</xdr:col>
      <xdr:colOff>0</xdr:colOff>
      <xdr:row>36</xdr:row>
      <xdr:rowOff>11206</xdr:rowOff>
    </xdr:from>
    <xdr:to>
      <xdr:col>18</xdr:col>
      <xdr:colOff>11206</xdr:colOff>
      <xdr:row>65</xdr:row>
      <xdr:rowOff>156883</xdr:rowOff>
    </xdr:to>
    <xdr:pic>
      <xdr:nvPicPr>
        <xdr:cNvPr id="6" name="Picture 5">
          <a:extLst>
            <a:ext uri="{FF2B5EF4-FFF2-40B4-BE49-F238E27FC236}">
              <a16:creationId xmlns:a16="http://schemas.microsoft.com/office/drawing/2014/main" id="{21AAB6F6-C8F7-2FF7-853D-54E5601CE9E7}"/>
            </a:ext>
          </a:extLst>
        </xdr:cNvPr>
        <xdr:cNvPicPr>
          <a:picLocks noChangeAspect="1"/>
        </xdr:cNvPicPr>
      </xdr:nvPicPr>
      <xdr:blipFill>
        <a:blip xmlns:r="http://schemas.openxmlformats.org/officeDocument/2006/relationships" r:embed="rId3"/>
        <a:stretch>
          <a:fillRect/>
        </a:stretch>
      </xdr:blipFill>
      <xdr:spPr>
        <a:xfrm>
          <a:off x="212912" y="6712324"/>
          <a:ext cx="6062382" cy="5367618"/>
        </a:xfrm>
        <a:prstGeom prst="rect">
          <a:avLst/>
        </a:prstGeom>
      </xdr:spPr>
    </xdr:pic>
    <xdr:clientData/>
  </xdr:twoCellAnchor>
  <xdr:twoCellAnchor editAs="oneCell">
    <xdr:from>
      <xdr:col>17</xdr:col>
      <xdr:colOff>537881</xdr:colOff>
      <xdr:row>2</xdr:row>
      <xdr:rowOff>11207</xdr:rowOff>
    </xdr:from>
    <xdr:to>
      <xdr:col>28</xdr:col>
      <xdr:colOff>0</xdr:colOff>
      <xdr:row>31</xdr:row>
      <xdr:rowOff>33617</xdr:rowOff>
    </xdr:to>
    <xdr:pic>
      <xdr:nvPicPr>
        <xdr:cNvPr id="7" name="Picture 6">
          <a:extLst>
            <a:ext uri="{FF2B5EF4-FFF2-40B4-BE49-F238E27FC236}">
              <a16:creationId xmlns:a16="http://schemas.microsoft.com/office/drawing/2014/main" id="{9CB62743-AE81-907D-9AE7-9C65B901C77C}"/>
            </a:ext>
          </a:extLst>
        </xdr:cNvPr>
        <xdr:cNvPicPr>
          <a:picLocks noChangeAspect="1"/>
        </xdr:cNvPicPr>
      </xdr:nvPicPr>
      <xdr:blipFill>
        <a:blip xmlns:r="http://schemas.openxmlformats.org/officeDocument/2006/relationships" r:embed="rId4"/>
        <a:stretch>
          <a:fillRect/>
        </a:stretch>
      </xdr:blipFill>
      <xdr:spPr>
        <a:xfrm>
          <a:off x="6233831" y="382682"/>
          <a:ext cx="6167719" cy="5265643"/>
        </a:xfrm>
        <a:prstGeom prst="rect">
          <a:avLst/>
        </a:prstGeom>
      </xdr:spPr>
    </xdr:pic>
    <xdr:clientData/>
  </xdr:twoCellAnchor>
  <xdr:twoCellAnchor>
    <xdr:from>
      <xdr:col>8</xdr:col>
      <xdr:colOff>1</xdr:colOff>
      <xdr:row>140</xdr:row>
      <xdr:rowOff>0</xdr:rowOff>
    </xdr:from>
    <xdr:to>
      <xdr:col>23</xdr:col>
      <xdr:colOff>0</xdr:colOff>
      <xdr:row>172</xdr:row>
      <xdr:rowOff>0</xdr:rowOff>
    </xdr:to>
    <xdr:graphicFrame macro="">
      <xdr:nvGraphicFramePr>
        <xdr:cNvPr id="8" name="Chart 7">
          <a:extLst>
            <a:ext uri="{FF2B5EF4-FFF2-40B4-BE49-F238E27FC236}">
              <a16:creationId xmlns:a16="http://schemas.microsoft.com/office/drawing/2014/main" id="{AC23D645-51D0-47A7-889E-F91A8D67062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8</xdr:col>
      <xdr:colOff>9526</xdr:colOff>
      <xdr:row>2</xdr:row>
      <xdr:rowOff>9525</xdr:rowOff>
    </xdr:from>
    <xdr:to>
      <xdr:col>18</xdr:col>
      <xdr:colOff>9526</xdr:colOff>
      <xdr:row>31</xdr:row>
      <xdr:rowOff>27559</xdr:rowOff>
    </xdr:to>
    <xdr:pic>
      <xdr:nvPicPr>
        <xdr:cNvPr id="4" name="Picture 3">
          <a:extLst>
            <a:ext uri="{FF2B5EF4-FFF2-40B4-BE49-F238E27FC236}">
              <a16:creationId xmlns:a16="http://schemas.microsoft.com/office/drawing/2014/main" id="{B144DFC6-E0B4-9FAB-748B-381448E2EE31}"/>
            </a:ext>
          </a:extLst>
        </xdr:cNvPr>
        <xdr:cNvPicPr>
          <a:picLocks noChangeAspect="1"/>
        </xdr:cNvPicPr>
      </xdr:nvPicPr>
      <xdr:blipFill>
        <a:blip xmlns:r="http://schemas.openxmlformats.org/officeDocument/2006/relationships" r:embed="rId6"/>
        <a:stretch>
          <a:fillRect/>
        </a:stretch>
      </xdr:blipFill>
      <xdr:spPr>
        <a:xfrm>
          <a:off x="219076" y="381000"/>
          <a:ext cx="6096000" cy="5259586"/>
        </a:xfrm>
        <a:prstGeom prst="rect">
          <a:avLst/>
        </a:prstGeom>
      </xdr:spPr>
    </xdr:pic>
    <xdr:clientData/>
  </xdr:twoCellAnchor>
  <xdr:twoCellAnchor editAs="oneCell">
    <xdr:from>
      <xdr:col>29</xdr:col>
      <xdr:colOff>9524</xdr:colOff>
      <xdr:row>1</xdr:row>
      <xdr:rowOff>173182</xdr:rowOff>
    </xdr:from>
    <xdr:to>
      <xdr:col>39</xdr:col>
      <xdr:colOff>19049</xdr:colOff>
      <xdr:row>32</xdr:row>
      <xdr:rowOff>132</xdr:rowOff>
    </xdr:to>
    <xdr:pic>
      <xdr:nvPicPr>
        <xdr:cNvPr id="5" name="Picture 4">
          <a:extLst>
            <a:ext uri="{FF2B5EF4-FFF2-40B4-BE49-F238E27FC236}">
              <a16:creationId xmlns:a16="http://schemas.microsoft.com/office/drawing/2014/main" id="{582C63C3-6872-440D-9DE9-53309F86527F}"/>
            </a:ext>
          </a:extLst>
        </xdr:cNvPr>
        <xdr:cNvPicPr>
          <a:picLocks noChangeAspect="1"/>
        </xdr:cNvPicPr>
      </xdr:nvPicPr>
      <xdr:blipFill>
        <a:blip xmlns:r="http://schemas.openxmlformats.org/officeDocument/2006/relationships" r:embed="rId7"/>
        <a:stretch>
          <a:fillRect/>
        </a:stretch>
      </xdr:blipFill>
      <xdr:spPr>
        <a:xfrm>
          <a:off x="12530569" y="346364"/>
          <a:ext cx="6070889" cy="5212904"/>
        </a:xfrm>
        <a:prstGeom prst="rect">
          <a:avLst/>
        </a:prstGeom>
      </xdr:spPr>
    </xdr:pic>
    <xdr:clientData/>
  </xdr:twoCellAnchor>
  <xdr:twoCellAnchor editAs="oneCell">
    <xdr:from>
      <xdr:col>29</xdr:col>
      <xdr:colOff>11206</xdr:colOff>
      <xdr:row>36</xdr:row>
      <xdr:rowOff>12606</xdr:rowOff>
    </xdr:from>
    <xdr:to>
      <xdr:col>40</xdr:col>
      <xdr:colOff>605116</xdr:colOff>
      <xdr:row>64</xdr:row>
      <xdr:rowOff>12606</xdr:rowOff>
    </xdr:to>
    <xdr:pic>
      <xdr:nvPicPr>
        <xdr:cNvPr id="9" name="Picture 8">
          <a:extLst>
            <a:ext uri="{FF2B5EF4-FFF2-40B4-BE49-F238E27FC236}">
              <a16:creationId xmlns:a16="http://schemas.microsoft.com/office/drawing/2014/main" id="{A88AF49E-275B-1E4A-652E-F89DD3B0CB01}"/>
            </a:ext>
          </a:extLst>
        </xdr:cNvPr>
        <xdr:cNvPicPr>
          <a:picLocks noChangeAspect="1"/>
        </xdr:cNvPicPr>
      </xdr:nvPicPr>
      <xdr:blipFill>
        <a:blip xmlns:r="http://schemas.openxmlformats.org/officeDocument/2006/relationships" r:embed="rId8"/>
        <a:stretch>
          <a:fillRect/>
        </a:stretch>
      </xdr:blipFill>
      <xdr:spPr>
        <a:xfrm>
          <a:off x="12516971" y="6489606"/>
          <a:ext cx="7250204" cy="5042647"/>
        </a:xfrm>
        <a:prstGeom prst="rect">
          <a:avLst/>
        </a:prstGeom>
      </xdr:spPr>
    </xdr:pic>
    <xdr:clientData/>
  </xdr:twoCellAnchor>
  <xdr:twoCellAnchor editAs="oneCell">
    <xdr:from>
      <xdr:col>29</xdr:col>
      <xdr:colOff>9526</xdr:colOff>
      <xdr:row>71</xdr:row>
      <xdr:rowOff>9525</xdr:rowOff>
    </xdr:from>
    <xdr:to>
      <xdr:col>41</xdr:col>
      <xdr:colOff>9526</xdr:colOff>
      <xdr:row>99</xdr:row>
      <xdr:rowOff>17318</xdr:rowOff>
    </xdr:to>
    <xdr:pic>
      <xdr:nvPicPr>
        <xdr:cNvPr id="10" name="Picture 9">
          <a:extLst>
            <a:ext uri="{FF2B5EF4-FFF2-40B4-BE49-F238E27FC236}">
              <a16:creationId xmlns:a16="http://schemas.microsoft.com/office/drawing/2014/main" id="{F6311E21-2C57-3AC8-0844-DBD45C56B607}"/>
            </a:ext>
          </a:extLst>
        </xdr:cNvPr>
        <xdr:cNvPicPr>
          <a:picLocks noChangeAspect="1"/>
        </xdr:cNvPicPr>
      </xdr:nvPicPr>
      <xdr:blipFill>
        <a:blip xmlns:r="http://schemas.openxmlformats.org/officeDocument/2006/relationships" r:embed="rId9"/>
        <a:stretch>
          <a:fillRect/>
        </a:stretch>
      </xdr:blipFill>
      <xdr:spPr>
        <a:xfrm>
          <a:off x="12601576" y="12906375"/>
          <a:ext cx="7315200" cy="5322743"/>
        </a:xfrm>
        <a:prstGeom prst="rect">
          <a:avLst/>
        </a:prstGeom>
      </xdr:spPr>
    </xdr:pic>
    <xdr:clientData/>
  </xdr:twoCellAnchor>
  <xdr:twoCellAnchor editAs="oneCell">
    <xdr:from>
      <xdr:col>41</xdr:col>
      <xdr:colOff>0</xdr:colOff>
      <xdr:row>71</xdr:row>
      <xdr:rowOff>17318</xdr:rowOff>
    </xdr:from>
    <xdr:to>
      <xdr:col>53</xdr:col>
      <xdr:colOff>19762</xdr:colOff>
      <xdr:row>99</xdr:row>
      <xdr:rowOff>17318</xdr:rowOff>
    </xdr:to>
    <xdr:pic>
      <xdr:nvPicPr>
        <xdr:cNvPr id="11" name="Picture 10">
          <a:extLst>
            <a:ext uri="{FF2B5EF4-FFF2-40B4-BE49-F238E27FC236}">
              <a16:creationId xmlns:a16="http://schemas.microsoft.com/office/drawing/2014/main" id="{A4ECE296-D0EA-6DFF-C604-2FD9F9CE9EC9}"/>
            </a:ext>
          </a:extLst>
        </xdr:cNvPr>
        <xdr:cNvPicPr>
          <a:picLocks noChangeAspect="1"/>
        </xdr:cNvPicPr>
      </xdr:nvPicPr>
      <xdr:blipFill>
        <a:blip xmlns:r="http://schemas.openxmlformats.org/officeDocument/2006/relationships" r:embed="rId10"/>
        <a:stretch>
          <a:fillRect/>
        </a:stretch>
      </xdr:blipFill>
      <xdr:spPr>
        <a:xfrm>
          <a:off x="19794682" y="12399818"/>
          <a:ext cx="7293398" cy="5299364"/>
        </a:xfrm>
        <a:prstGeom prst="rect">
          <a:avLst/>
        </a:prstGeom>
      </xdr:spPr>
    </xdr:pic>
    <xdr:clientData/>
  </xdr:twoCellAnchor>
  <xdr:twoCellAnchor editAs="oneCell">
    <xdr:from>
      <xdr:col>29</xdr:col>
      <xdr:colOff>0</xdr:colOff>
      <xdr:row>140</xdr:row>
      <xdr:rowOff>0</xdr:rowOff>
    </xdr:from>
    <xdr:to>
      <xdr:col>41</xdr:col>
      <xdr:colOff>17318</xdr:colOff>
      <xdr:row>172</xdr:row>
      <xdr:rowOff>17318</xdr:rowOff>
    </xdr:to>
    <xdr:pic>
      <xdr:nvPicPr>
        <xdr:cNvPr id="13" name="Picture 12">
          <a:extLst>
            <a:ext uri="{FF2B5EF4-FFF2-40B4-BE49-F238E27FC236}">
              <a16:creationId xmlns:a16="http://schemas.microsoft.com/office/drawing/2014/main" id="{58F67260-2DF6-8A4F-EC19-832270355D4F}"/>
            </a:ext>
          </a:extLst>
        </xdr:cNvPr>
        <xdr:cNvPicPr>
          <a:picLocks noChangeAspect="1"/>
        </xdr:cNvPicPr>
      </xdr:nvPicPr>
      <xdr:blipFill>
        <a:blip xmlns:r="http://schemas.openxmlformats.org/officeDocument/2006/relationships" r:embed="rId11"/>
        <a:stretch>
          <a:fillRect/>
        </a:stretch>
      </xdr:blipFill>
      <xdr:spPr>
        <a:xfrm>
          <a:off x="12521045" y="24816955"/>
          <a:ext cx="7290955" cy="5576454"/>
        </a:xfrm>
        <a:prstGeom prst="rect">
          <a:avLst/>
        </a:prstGeom>
      </xdr:spPr>
    </xdr:pic>
    <xdr:clientData/>
  </xdr:twoCellAnchor>
  <xdr:twoCellAnchor editAs="oneCell">
    <xdr:from>
      <xdr:col>39</xdr:col>
      <xdr:colOff>0</xdr:colOff>
      <xdr:row>1</xdr:row>
      <xdr:rowOff>182216</xdr:rowOff>
    </xdr:from>
    <xdr:to>
      <xdr:col>48</xdr:col>
      <xdr:colOff>9525</xdr:colOff>
      <xdr:row>32</xdr:row>
      <xdr:rowOff>1241</xdr:rowOff>
    </xdr:to>
    <xdr:pic>
      <xdr:nvPicPr>
        <xdr:cNvPr id="14" name="Picture 13">
          <a:extLst>
            <a:ext uri="{FF2B5EF4-FFF2-40B4-BE49-F238E27FC236}">
              <a16:creationId xmlns:a16="http://schemas.microsoft.com/office/drawing/2014/main" id="{AF0FAB11-9ED7-4961-309F-B91CD6C2F262}"/>
            </a:ext>
          </a:extLst>
        </xdr:cNvPr>
        <xdr:cNvPicPr>
          <a:picLocks noChangeAspect="1"/>
        </xdr:cNvPicPr>
      </xdr:nvPicPr>
      <xdr:blipFill>
        <a:blip xmlns:r="http://schemas.openxmlformats.org/officeDocument/2006/relationships" r:embed="rId12"/>
        <a:stretch>
          <a:fillRect/>
        </a:stretch>
      </xdr:blipFill>
      <xdr:spPr>
        <a:xfrm>
          <a:off x="18688050" y="363191"/>
          <a:ext cx="5495925" cy="5438775"/>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eme/themeOverride1.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2.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worksheets/_rels/sheet1.xml.rels><?xml version="1.0" encoding="UTF-8" standalone="yes"?>
<Relationships xmlns="http://schemas.openxmlformats.org/package/2006/relationships"><Relationship Id="rId8" Type="http://schemas.openxmlformats.org/officeDocument/2006/relationships/hyperlink" Target="https://isrg.intuitive.com/" TargetMode="External"/><Relationship Id="rId3" Type="http://schemas.openxmlformats.org/officeDocument/2006/relationships/hyperlink" Target="000%20Med-Devices%20Master%20List%20000.xlsx" TargetMode="External"/><Relationship Id="rId7" Type="http://schemas.openxmlformats.org/officeDocument/2006/relationships/hyperlink" Target="https://www.macrotrends.net/stocks/charts/ISRG/intuitive-surgical/cash-flow-statement?freq=Q" TargetMode="External"/><Relationship Id="rId2" Type="http://schemas.openxmlformats.org/officeDocument/2006/relationships/hyperlink" Target="https://app.godelterminal.com/" TargetMode="External"/><Relationship Id="rId1" Type="http://schemas.openxmlformats.org/officeDocument/2006/relationships/hyperlink" Target="https://www.sec.gov/edgar/browse/?CIK=310764&amp;owner=exclude" TargetMode="External"/><Relationship Id="rId6" Type="http://schemas.openxmlformats.org/officeDocument/2006/relationships/hyperlink" Target="https://www.gurufocus.com/term/wacc/ISRG" TargetMode="External"/><Relationship Id="rId5" Type="http://schemas.openxmlformats.org/officeDocument/2006/relationships/hyperlink" Target="mailto:investor.relations@intusurg.com" TargetMode="External"/><Relationship Id="rId4" Type="http://schemas.openxmlformats.org/officeDocument/2006/relationships/hyperlink" Target="https://www.intuitive.com/en-us"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hyperlink" Target="https://www.intuitive.com/en-gb/-/media/ISI/Intuitive/Pdf/intuitive-company-press-facts-europe-1096203.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35"/>
  <sheetViews>
    <sheetView zoomScale="85" zoomScaleNormal="85" workbookViewId="0">
      <selection activeCell="C8" sqref="C8"/>
    </sheetView>
  </sheetViews>
  <sheetFormatPr defaultColWidth="9.140625" defaultRowHeight="14.25"/>
  <cols>
    <col min="1" max="1" width="3.42578125" style="1" customWidth="1"/>
    <col min="2" max="2" width="11.5703125" style="1" customWidth="1"/>
    <col min="3" max="3" width="12.5703125" style="1" customWidth="1"/>
    <col min="4" max="4" width="11.5703125" style="1" customWidth="1"/>
    <col min="5" max="16384" width="9.140625" style="1"/>
  </cols>
  <sheetData>
    <row r="1" spans="1:19">
      <c r="A1" s="44" t="s">
        <v>1513</v>
      </c>
    </row>
    <row r="2" spans="1:19" ht="15">
      <c r="A2" s="2" t="s">
        <v>168</v>
      </c>
    </row>
    <row r="3" spans="1:19" ht="15">
      <c r="Q3" s="2"/>
    </row>
    <row r="4" spans="1:19" ht="15">
      <c r="B4" s="2" t="s">
        <v>169</v>
      </c>
    </row>
    <row r="5" spans="1:19">
      <c r="B5" s="1" t="s">
        <v>0</v>
      </c>
      <c r="C5" s="42">
        <v>587.88</v>
      </c>
      <c r="D5" s="76" t="s">
        <v>1518</v>
      </c>
    </row>
    <row r="6" spans="1:19">
      <c r="B6" s="1" t="s">
        <v>1</v>
      </c>
      <c r="C6" s="45">
        <v>354.49599999999998</v>
      </c>
      <c r="D6" s="1" t="s">
        <v>1517</v>
      </c>
    </row>
    <row r="7" spans="1:19">
      <c r="B7" s="1" t="s">
        <v>2</v>
      </c>
      <c r="C7" s="43">
        <f>C5*C6</f>
        <v>208401.10848</v>
      </c>
    </row>
    <row r="8" spans="1:19">
      <c r="B8" s="1" t="s">
        <v>3</v>
      </c>
      <c r="C8" s="53">
        <f>2806.6+2102.2</f>
        <v>4908.7999999999993</v>
      </c>
      <c r="D8" s="1" t="s">
        <v>1517</v>
      </c>
    </row>
    <row r="9" spans="1:19">
      <c r="B9" s="1" t="s">
        <v>4</v>
      </c>
      <c r="C9" s="43">
        <v>0</v>
      </c>
      <c r="D9" s="1" t="s">
        <v>1517</v>
      </c>
    </row>
    <row r="10" spans="1:19">
      <c r="B10" s="1" t="s">
        <v>5</v>
      </c>
      <c r="C10" s="43">
        <f>C7-C8+C9</f>
        <v>203492.30848000001</v>
      </c>
    </row>
    <row r="12" spans="1:19" ht="15">
      <c r="B12" s="2" t="s">
        <v>172</v>
      </c>
    </row>
    <row r="14" spans="1:19">
      <c r="B14" s="1" t="s">
        <v>1483</v>
      </c>
      <c r="H14" s="1" t="s">
        <v>171</v>
      </c>
      <c r="P14" s="1" t="s">
        <v>167</v>
      </c>
    </row>
    <row r="15" spans="1:19">
      <c r="B15" s="1" t="s">
        <v>175</v>
      </c>
      <c r="H15" s="1" t="s">
        <v>170</v>
      </c>
      <c r="P15" s="1" t="s">
        <v>7</v>
      </c>
      <c r="S15" s="44" t="s">
        <v>160</v>
      </c>
    </row>
    <row r="16" spans="1:19">
      <c r="B16" s="1" t="s">
        <v>186</v>
      </c>
      <c r="H16" s="1" t="s">
        <v>6</v>
      </c>
      <c r="P16" s="1" t="s">
        <v>177</v>
      </c>
      <c r="S16" s="44" t="s">
        <v>176</v>
      </c>
    </row>
    <row r="17" spans="1:20">
      <c r="B17" s="77" t="s">
        <v>1487</v>
      </c>
      <c r="C17" s="77"/>
      <c r="H17" s="1" t="s">
        <v>164</v>
      </c>
      <c r="Q17" s="1" t="s">
        <v>179</v>
      </c>
      <c r="T17" s="44" t="s">
        <v>178</v>
      </c>
    </row>
    <row r="18" spans="1:20">
      <c r="B18" s="1" t="s">
        <v>185</v>
      </c>
      <c r="H18" s="1" t="s">
        <v>182</v>
      </c>
      <c r="K18" s="1" t="s">
        <v>158</v>
      </c>
      <c r="L18" s="44" t="s">
        <v>183</v>
      </c>
      <c r="P18" s="1" t="s">
        <v>161</v>
      </c>
      <c r="S18" s="44" t="s">
        <v>180</v>
      </c>
    </row>
    <row r="19" spans="1:20">
      <c r="B19" s="1" t="s">
        <v>173</v>
      </c>
      <c r="P19" s="1" t="s">
        <v>162</v>
      </c>
      <c r="S19" s="44" t="s">
        <v>181</v>
      </c>
    </row>
    <row r="20" spans="1:20">
      <c r="B20" s="1" t="s">
        <v>174</v>
      </c>
      <c r="P20" s="1" t="s">
        <v>1510</v>
      </c>
      <c r="S20" s="44" t="s">
        <v>1511</v>
      </c>
    </row>
    <row r="21" spans="1:20">
      <c r="B21" s="1" t="s">
        <v>184</v>
      </c>
      <c r="P21" s="1" t="s">
        <v>1509</v>
      </c>
      <c r="S21" s="44" t="s">
        <v>1512</v>
      </c>
    </row>
    <row r="22" spans="1:20">
      <c r="B22" s="1" t="s">
        <v>1514</v>
      </c>
      <c r="P22" s="1" t="s">
        <v>8</v>
      </c>
      <c r="S22" s="44" t="s">
        <v>163</v>
      </c>
    </row>
    <row r="23" spans="1:20">
      <c r="S23" s="44"/>
    </row>
    <row r="24" spans="1:20" ht="15">
      <c r="A24" s="2" t="s">
        <v>9</v>
      </c>
    </row>
    <row r="25" spans="1:20">
      <c r="B25" s="1" t="s">
        <v>187</v>
      </c>
    </row>
    <row r="26" spans="1:20" ht="15">
      <c r="B26" s="1" t="s">
        <v>1493</v>
      </c>
    </row>
    <row r="27" spans="1:20">
      <c r="B27" s="1" t="s">
        <v>188</v>
      </c>
    </row>
    <row r="28" spans="1:20">
      <c r="C28" s="1" t="s">
        <v>189</v>
      </c>
    </row>
    <row r="29" spans="1:20">
      <c r="C29" s="1" t="s">
        <v>1447</v>
      </c>
    </row>
    <row r="30" spans="1:20">
      <c r="C30" s="1" t="s">
        <v>1448</v>
      </c>
    </row>
    <row r="31" spans="1:20">
      <c r="B31" s="1" t="s">
        <v>1489</v>
      </c>
    </row>
    <row r="32" spans="1:20">
      <c r="C32" s="1" t="s">
        <v>1449</v>
      </c>
    </row>
    <row r="33" spans="1:2" ht="15">
      <c r="B33" s="2" t="s">
        <v>1516</v>
      </c>
    </row>
    <row r="35" spans="1:2" ht="15">
      <c r="A35" s="2" t="s">
        <v>165</v>
      </c>
    </row>
  </sheetData>
  <mergeCells count="1">
    <mergeCell ref="B17:C17"/>
  </mergeCells>
  <hyperlinks>
    <hyperlink ref="S15" r:id="rId1" xr:uid="{739BC0F6-DDEA-409E-BAA0-CED0EC3FAC10}"/>
    <hyperlink ref="S22" r:id="rId2" xr:uid="{14375537-5C3D-4253-9650-337AB6789785}"/>
    <hyperlink ref="A1" r:id="rId3" xr:uid="{563BF9AA-5866-4FA7-90ED-29E85D140A81}"/>
    <hyperlink ref="S16" r:id="rId4" xr:uid="{246FE6A3-40D3-4F60-BF3A-2DEB4A0AE5D9}"/>
    <hyperlink ref="L18" r:id="rId5" xr:uid="{029011AC-548F-436B-AC5A-2F47B1132C6F}"/>
    <hyperlink ref="S21" r:id="rId6" xr:uid="{EAAA7037-D2D1-4487-89B7-4A5E295870D2}"/>
    <hyperlink ref="S20" r:id="rId7" xr:uid="{1DD73788-521E-4FB8-8F99-6D7AF70DA125}"/>
    <hyperlink ref="T17" r:id="rId8" xr:uid="{9F777450-107A-421F-B854-620668A2DD04}"/>
  </hyperlinks>
  <pageMargins left="0.7" right="0.7" top="0.75" bottom="0.75" header="0.3" footer="0.3"/>
  <drawing r:id="rId9"/>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B27957-A42B-4AB7-A411-12A70E029F5D}">
  <dimension ref="B1:EW73"/>
  <sheetViews>
    <sheetView tabSelected="1" zoomScale="85" zoomScaleNormal="85" workbookViewId="0">
      <pane xSplit="2" ySplit="3" topLeftCell="CE15" activePane="bottomRight" state="frozen"/>
      <selection pane="topRight" activeCell="C1" sqref="C1"/>
      <selection pane="bottomLeft" activeCell="A4" sqref="A4"/>
      <selection pane="bottomRight" activeCell="CY47" sqref="CY47"/>
    </sheetView>
  </sheetViews>
  <sheetFormatPr defaultColWidth="9.140625" defaultRowHeight="14.25"/>
  <cols>
    <col min="1" max="1" width="3.140625" style="1" customWidth="1"/>
    <col min="2" max="2" width="36.42578125" style="1" customWidth="1"/>
    <col min="3" max="4" width="9.140625" style="1" customWidth="1"/>
    <col min="5" max="71" width="9.140625" style="1"/>
    <col min="72" max="72" width="9.140625" style="37"/>
    <col min="73" max="78" width="9.140625" style="35"/>
    <col min="79" max="90" width="9.140625" style="1"/>
    <col min="91" max="99" width="9.140625" style="35"/>
    <col min="100" max="100" width="9.140625" style="35" customWidth="1"/>
    <col min="101" max="152" width="9.140625" style="35"/>
    <col min="153" max="16384" width="9.140625" style="1"/>
  </cols>
  <sheetData>
    <row r="1" spans="2:153" ht="15">
      <c r="B1" s="1" t="s">
        <v>119</v>
      </c>
      <c r="AY1" s="33" t="s">
        <v>91</v>
      </c>
      <c r="BC1" s="33" t="s">
        <v>95</v>
      </c>
      <c r="BG1" s="33" t="s">
        <v>99</v>
      </c>
      <c r="BK1" s="33" t="s">
        <v>103</v>
      </c>
      <c r="BO1" s="33" t="s">
        <v>107</v>
      </c>
      <c r="BS1" s="33" t="s">
        <v>111</v>
      </c>
    </row>
    <row r="2" spans="2:153">
      <c r="B2" s="1" t="s">
        <v>120</v>
      </c>
    </row>
    <row r="3" spans="2:153" ht="15">
      <c r="B3" s="2" t="s">
        <v>121</v>
      </c>
      <c r="C3" s="2" t="s">
        <v>123</v>
      </c>
      <c r="D3" s="33" t="s">
        <v>45</v>
      </c>
      <c r="E3" s="33" t="s">
        <v>46</v>
      </c>
      <c r="F3" s="33" t="s">
        <v>124</v>
      </c>
      <c r="G3" s="33" t="s">
        <v>47</v>
      </c>
      <c r="H3" s="33" t="s">
        <v>48</v>
      </c>
      <c r="I3" s="33" t="s">
        <v>49</v>
      </c>
      <c r="J3" s="33" t="s">
        <v>50</v>
      </c>
      <c r="K3" s="33" t="s">
        <v>51</v>
      </c>
      <c r="L3" s="33" t="s">
        <v>52</v>
      </c>
      <c r="M3" s="33" t="s">
        <v>53</v>
      </c>
      <c r="N3" s="33" t="s">
        <v>54</v>
      </c>
      <c r="O3" s="33" t="s">
        <v>55</v>
      </c>
      <c r="P3" s="33" t="s">
        <v>56</v>
      </c>
      <c r="Q3" s="33" t="s">
        <v>57</v>
      </c>
      <c r="R3" s="33" t="s">
        <v>58</v>
      </c>
      <c r="S3" s="33" t="s">
        <v>59</v>
      </c>
      <c r="T3" s="33" t="s">
        <v>60</v>
      </c>
      <c r="U3" s="33" t="s">
        <v>61</v>
      </c>
      <c r="V3" s="33" t="s">
        <v>62</v>
      </c>
      <c r="W3" s="33" t="s">
        <v>63</v>
      </c>
      <c r="X3" s="33" t="s">
        <v>64</v>
      </c>
      <c r="Y3" s="33" t="s">
        <v>65</v>
      </c>
      <c r="Z3" s="33" t="s">
        <v>66</v>
      </c>
      <c r="AA3" s="33" t="s">
        <v>67</v>
      </c>
      <c r="AB3" s="33" t="s">
        <v>68</v>
      </c>
      <c r="AC3" s="33" t="s">
        <v>69</v>
      </c>
      <c r="AD3" s="33" t="s">
        <v>70</v>
      </c>
      <c r="AE3" s="33" t="s">
        <v>71</v>
      </c>
      <c r="AF3" s="33" t="s">
        <v>72</v>
      </c>
      <c r="AG3" s="33" t="s">
        <v>73</v>
      </c>
      <c r="AH3" s="33" t="s">
        <v>74</v>
      </c>
      <c r="AI3" s="33" t="s">
        <v>75</v>
      </c>
      <c r="AJ3" s="33" t="s">
        <v>76</v>
      </c>
      <c r="AK3" s="33" t="s">
        <v>77</v>
      </c>
      <c r="AL3" s="33" t="s">
        <v>78</v>
      </c>
      <c r="AM3" s="33" t="s">
        <v>79</v>
      </c>
      <c r="AN3" s="33" t="s">
        <v>80</v>
      </c>
      <c r="AO3" s="33" t="s">
        <v>81</v>
      </c>
      <c r="AP3" s="33" t="s">
        <v>82</v>
      </c>
      <c r="AQ3" s="33" t="s">
        <v>83</v>
      </c>
      <c r="AR3" s="33" t="s">
        <v>84</v>
      </c>
      <c r="AS3" s="33" t="s">
        <v>85</v>
      </c>
      <c r="AT3" s="33" t="s">
        <v>86</v>
      </c>
      <c r="AU3" s="33" t="s">
        <v>87</v>
      </c>
      <c r="AV3" s="33" t="s">
        <v>88</v>
      </c>
      <c r="AW3" s="33" t="s">
        <v>89</v>
      </c>
      <c r="AX3" s="33" t="s">
        <v>90</v>
      </c>
      <c r="AY3" s="33" t="s">
        <v>91</v>
      </c>
      <c r="AZ3" s="33" t="s">
        <v>92</v>
      </c>
      <c r="BA3" s="33" t="s">
        <v>93</v>
      </c>
      <c r="BB3" s="33" t="s">
        <v>94</v>
      </c>
      <c r="BC3" s="33" t="s">
        <v>95</v>
      </c>
      <c r="BD3" s="33" t="s">
        <v>96</v>
      </c>
      <c r="BE3" s="33" t="s">
        <v>97</v>
      </c>
      <c r="BF3" s="33" t="s">
        <v>98</v>
      </c>
      <c r="BG3" s="33" t="s">
        <v>99</v>
      </c>
      <c r="BH3" s="33" t="s">
        <v>100</v>
      </c>
      <c r="BI3" s="33" t="s">
        <v>101</v>
      </c>
      <c r="BJ3" s="33" t="s">
        <v>102</v>
      </c>
      <c r="BK3" s="33" t="s">
        <v>103</v>
      </c>
      <c r="BL3" s="33" t="s">
        <v>104</v>
      </c>
      <c r="BM3" s="33" t="s">
        <v>105</v>
      </c>
      <c r="BN3" s="33" t="s">
        <v>106</v>
      </c>
      <c r="BO3" s="33" t="s">
        <v>107</v>
      </c>
      <c r="BP3" s="33" t="s">
        <v>108</v>
      </c>
      <c r="BQ3" s="33" t="s">
        <v>109</v>
      </c>
      <c r="BR3" s="33" t="s">
        <v>110</v>
      </c>
      <c r="BS3" s="33" t="s">
        <v>111</v>
      </c>
      <c r="BT3" s="33" t="s">
        <v>112</v>
      </c>
      <c r="BU3" s="2" t="s">
        <v>113</v>
      </c>
      <c r="BV3" s="34" t="s">
        <v>114</v>
      </c>
      <c r="BW3" s="34" t="s">
        <v>115</v>
      </c>
      <c r="BX3" s="34" t="s">
        <v>116</v>
      </c>
      <c r="BY3" s="34" t="s">
        <v>117</v>
      </c>
      <c r="BZ3" s="34" t="s">
        <v>118</v>
      </c>
      <c r="CA3" s="2"/>
      <c r="CB3" s="2"/>
      <c r="CC3" s="2"/>
      <c r="CD3" s="2"/>
      <c r="CE3" s="2"/>
      <c r="CF3" s="2"/>
      <c r="CG3" s="2"/>
      <c r="CH3" s="2">
        <v>2020</v>
      </c>
      <c r="CI3" s="2">
        <f t="shared" ref="CI3:EI3" si="0">CH3+1</f>
        <v>2021</v>
      </c>
      <c r="CJ3" s="2">
        <f t="shared" si="0"/>
        <v>2022</v>
      </c>
      <c r="CK3" s="2">
        <f t="shared" si="0"/>
        <v>2023</v>
      </c>
      <c r="CL3" s="2">
        <f t="shared" si="0"/>
        <v>2024</v>
      </c>
      <c r="CM3" s="34">
        <f t="shared" si="0"/>
        <v>2025</v>
      </c>
      <c r="CN3" s="34">
        <f t="shared" si="0"/>
        <v>2026</v>
      </c>
      <c r="CO3" s="34">
        <f t="shared" si="0"/>
        <v>2027</v>
      </c>
      <c r="CP3" s="34">
        <f t="shared" si="0"/>
        <v>2028</v>
      </c>
      <c r="CQ3" s="34">
        <f t="shared" si="0"/>
        <v>2029</v>
      </c>
      <c r="CR3" s="34">
        <f t="shared" si="0"/>
        <v>2030</v>
      </c>
      <c r="CS3" s="34">
        <f t="shared" si="0"/>
        <v>2031</v>
      </c>
      <c r="CT3" s="34">
        <f t="shared" si="0"/>
        <v>2032</v>
      </c>
      <c r="CU3" s="34">
        <f t="shared" si="0"/>
        <v>2033</v>
      </c>
      <c r="CV3" s="34">
        <f t="shared" si="0"/>
        <v>2034</v>
      </c>
      <c r="CW3" s="34">
        <f t="shared" si="0"/>
        <v>2035</v>
      </c>
      <c r="CX3" s="34">
        <f t="shared" si="0"/>
        <v>2036</v>
      </c>
      <c r="CY3" s="34">
        <f t="shared" si="0"/>
        <v>2037</v>
      </c>
      <c r="CZ3" s="34">
        <f t="shared" si="0"/>
        <v>2038</v>
      </c>
      <c r="DA3" s="34">
        <f t="shared" si="0"/>
        <v>2039</v>
      </c>
      <c r="DB3" s="34">
        <f t="shared" si="0"/>
        <v>2040</v>
      </c>
      <c r="DC3" s="34">
        <f t="shared" si="0"/>
        <v>2041</v>
      </c>
      <c r="DD3" s="34">
        <f t="shared" si="0"/>
        <v>2042</v>
      </c>
      <c r="DE3" s="34">
        <f t="shared" si="0"/>
        <v>2043</v>
      </c>
      <c r="DF3" s="34">
        <f t="shared" si="0"/>
        <v>2044</v>
      </c>
      <c r="DG3" s="34">
        <f t="shared" si="0"/>
        <v>2045</v>
      </c>
      <c r="DH3" s="34">
        <f t="shared" si="0"/>
        <v>2046</v>
      </c>
      <c r="DI3" s="34">
        <f t="shared" si="0"/>
        <v>2047</v>
      </c>
      <c r="DJ3" s="34">
        <f t="shared" si="0"/>
        <v>2048</v>
      </c>
      <c r="DK3" s="34">
        <f t="shared" si="0"/>
        <v>2049</v>
      </c>
      <c r="DL3" s="34">
        <f t="shared" si="0"/>
        <v>2050</v>
      </c>
      <c r="DM3" s="34">
        <f t="shared" si="0"/>
        <v>2051</v>
      </c>
      <c r="DN3" s="34">
        <f t="shared" si="0"/>
        <v>2052</v>
      </c>
      <c r="DO3" s="34">
        <f t="shared" si="0"/>
        <v>2053</v>
      </c>
      <c r="DP3" s="34">
        <f t="shared" si="0"/>
        <v>2054</v>
      </c>
      <c r="DQ3" s="34">
        <f t="shared" si="0"/>
        <v>2055</v>
      </c>
      <c r="DR3" s="34">
        <f t="shared" si="0"/>
        <v>2056</v>
      </c>
      <c r="DS3" s="34">
        <f t="shared" si="0"/>
        <v>2057</v>
      </c>
      <c r="DT3" s="34">
        <f t="shared" si="0"/>
        <v>2058</v>
      </c>
      <c r="DU3" s="34">
        <f t="shared" si="0"/>
        <v>2059</v>
      </c>
      <c r="DV3" s="34">
        <f t="shared" si="0"/>
        <v>2060</v>
      </c>
      <c r="DW3" s="34">
        <f t="shared" si="0"/>
        <v>2061</v>
      </c>
      <c r="DX3" s="34">
        <f t="shared" si="0"/>
        <v>2062</v>
      </c>
      <c r="DY3" s="34">
        <f t="shared" si="0"/>
        <v>2063</v>
      </c>
      <c r="DZ3" s="34">
        <f t="shared" si="0"/>
        <v>2064</v>
      </c>
      <c r="EA3" s="34">
        <f t="shared" si="0"/>
        <v>2065</v>
      </c>
      <c r="EB3" s="34">
        <f t="shared" si="0"/>
        <v>2066</v>
      </c>
      <c r="EC3" s="34">
        <f t="shared" si="0"/>
        <v>2067</v>
      </c>
      <c r="ED3" s="34">
        <f t="shared" si="0"/>
        <v>2068</v>
      </c>
      <c r="EE3" s="34">
        <f t="shared" si="0"/>
        <v>2069</v>
      </c>
      <c r="EF3" s="34">
        <f t="shared" si="0"/>
        <v>2070</v>
      </c>
      <c r="EG3" s="34">
        <f t="shared" si="0"/>
        <v>2071</v>
      </c>
      <c r="EH3" s="34">
        <f t="shared" si="0"/>
        <v>2072</v>
      </c>
      <c r="EI3" s="34">
        <f t="shared" si="0"/>
        <v>2073</v>
      </c>
      <c r="EJ3" s="34">
        <f t="shared" ref="EJ3:ET3" si="1">EI3+1</f>
        <v>2074</v>
      </c>
      <c r="EK3" s="34">
        <f t="shared" si="1"/>
        <v>2075</v>
      </c>
      <c r="EL3" s="34">
        <f t="shared" si="1"/>
        <v>2076</v>
      </c>
      <c r="EM3" s="34">
        <f t="shared" si="1"/>
        <v>2077</v>
      </c>
      <c r="EN3" s="34">
        <f t="shared" si="1"/>
        <v>2078</v>
      </c>
      <c r="EO3" s="34">
        <f t="shared" si="1"/>
        <v>2079</v>
      </c>
      <c r="EP3" s="34">
        <f t="shared" si="1"/>
        <v>2080</v>
      </c>
      <c r="EQ3" s="34">
        <f t="shared" si="1"/>
        <v>2081</v>
      </c>
      <c r="ER3" s="34">
        <f t="shared" si="1"/>
        <v>2082</v>
      </c>
      <c r="ES3" s="34">
        <f t="shared" si="1"/>
        <v>2083</v>
      </c>
      <c r="ET3" s="34">
        <f t="shared" si="1"/>
        <v>2084</v>
      </c>
      <c r="EU3" s="34"/>
      <c r="EV3" s="34"/>
      <c r="EW3" s="2"/>
    </row>
    <row r="4" spans="2:153">
      <c r="B4" s="36" t="s">
        <v>1450</v>
      </c>
      <c r="AY4" s="47">
        <v>617.5</v>
      </c>
      <c r="AZ4" s="47">
        <v>460.8</v>
      </c>
      <c r="BA4" s="47">
        <v>630.5</v>
      </c>
      <c r="BB4" s="47">
        <f>2455.7-SUM(AY4:BA4)</f>
        <v>746.89999999999986</v>
      </c>
      <c r="BC4" s="47">
        <v>705.9</v>
      </c>
      <c r="BD4" s="47">
        <v>796.4</v>
      </c>
      <c r="BE4" s="47">
        <v>755.4</v>
      </c>
      <c r="BF4" s="47">
        <f>3100.5-SUM(BC4:BE4)</f>
        <v>842.80000000000018</v>
      </c>
      <c r="BG4" s="47">
        <v>810.3</v>
      </c>
      <c r="BH4" s="47">
        <v>895.3</v>
      </c>
      <c r="BI4" s="47">
        <v>871.6</v>
      </c>
      <c r="BJ4" s="47">
        <f>3517.9-SUM(BG4:BI4)</f>
        <v>940.70000000000027</v>
      </c>
      <c r="BK4" s="47">
        <v>985.6</v>
      </c>
      <c r="BL4" s="47">
        <v>1075.9000000000001</v>
      </c>
      <c r="BM4" s="47">
        <v>1071.4000000000001</v>
      </c>
      <c r="BN4" s="47">
        <f>4276.6-SUM(BK4:BM4)</f>
        <v>1143.7000000000003</v>
      </c>
      <c r="BO4" s="47">
        <v>1158.9000000000001</v>
      </c>
      <c r="BP4" s="47">
        <v>1244.4000000000001</v>
      </c>
      <c r="BQ4" s="47">
        <v>1264.2</v>
      </c>
      <c r="BR4" s="47">
        <f>5079-SUM(BO4:BQ4)</f>
        <v>1411.5</v>
      </c>
      <c r="BS4" s="47">
        <v>1367.7</v>
      </c>
      <c r="BT4" s="47">
        <f>2841.8-BS4</f>
        <v>1474.1000000000001</v>
      </c>
      <c r="BU4" s="47">
        <v>1518.8</v>
      </c>
      <c r="CH4" s="47">
        <f>SUM(AY4:BB4)</f>
        <v>2455.6999999999998</v>
      </c>
      <c r="CI4" s="47">
        <f>SUM(BC4:BF4)</f>
        <v>3100.5</v>
      </c>
      <c r="CJ4" s="47">
        <f>SUM(BG4:BJ4)</f>
        <v>3517.9</v>
      </c>
      <c r="CK4" s="47">
        <f>SUM(BK4:BN4)</f>
        <v>4276.6000000000004</v>
      </c>
      <c r="CL4" s="47">
        <f>SUM(BO4:BR4)</f>
        <v>5079</v>
      </c>
      <c r="CM4" s="74">
        <f>CL4*(1+CM9)</f>
        <v>6018.6150000000007</v>
      </c>
      <c r="CN4" s="74">
        <f t="shared" ref="CN4:CV4" si="2">CM4*(1+CN9)</f>
        <v>7041.7795500000002</v>
      </c>
      <c r="CO4" s="74">
        <f t="shared" si="2"/>
        <v>8189.5896166500006</v>
      </c>
      <c r="CP4" s="74">
        <f t="shared" si="2"/>
        <v>9479.4499812723752</v>
      </c>
      <c r="CQ4" s="74">
        <f t="shared" si="2"/>
        <v>10925.066103416413</v>
      </c>
      <c r="CR4" s="74">
        <f t="shared" si="2"/>
        <v>12509.200688411793</v>
      </c>
      <c r="CS4" s="74">
        <f t="shared" si="2"/>
        <v>14010.304771021209</v>
      </c>
      <c r="CT4" s="74">
        <f t="shared" si="2"/>
        <v>15551.438295833543</v>
      </c>
      <c r="CU4" s="74">
        <f t="shared" si="2"/>
        <v>16951.067742458563</v>
      </c>
      <c r="CV4" s="74">
        <f t="shared" si="2"/>
        <v>18137.642484430664</v>
      </c>
    </row>
    <row r="5" spans="2:153">
      <c r="B5" s="36" t="s">
        <v>1451</v>
      </c>
      <c r="AY5" s="47">
        <v>283.3</v>
      </c>
      <c r="AZ5" s="47">
        <v>261</v>
      </c>
      <c r="BA5" s="47">
        <v>267.8</v>
      </c>
      <c r="BB5" s="47">
        <f>1178.9-SUM(AY5:BA5)</f>
        <v>366.80000000000018</v>
      </c>
      <c r="BC5" s="47">
        <v>368.7</v>
      </c>
      <c r="BD5" s="47">
        <v>439.6</v>
      </c>
      <c r="BE5" s="47">
        <v>415.2</v>
      </c>
      <c r="BF5" s="47">
        <f>1693.4-SUM(BC5:BE5)</f>
        <v>469.90000000000009</v>
      </c>
      <c r="BG5" s="47">
        <v>428.1</v>
      </c>
      <c r="BH5" s="47">
        <v>375.1</v>
      </c>
      <c r="BI5" s="47">
        <v>425.9</v>
      </c>
      <c r="BJ5" s="47">
        <f>1680.1-SUM(BG5:BI5)</f>
        <v>451</v>
      </c>
      <c r="BK5" s="47">
        <v>427.4</v>
      </c>
      <c r="BL5" s="47">
        <v>392.7</v>
      </c>
      <c r="BM5" s="47">
        <v>379.4</v>
      </c>
      <c r="BN5" s="47">
        <f>1679.7-SUM(BK5:BM5)</f>
        <v>480.20000000000005</v>
      </c>
      <c r="BO5" s="47">
        <v>418.2</v>
      </c>
      <c r="BP5" s="47">
        <v>448.2</v>
      </c>
      <c r="BQ5" s="47">
        <v>445</v>
      </c>
      <c r="BR5" s="47">
        <f>1966-SUM(BO5:BQ5)</f>
        <v>654.59999999999991</v>
      </c>
      <c r="BS5" s="47">
        <v>522.70000000000005</v>
      </c>
      <c r="BT5" s="47">
        <f>1097.4-BS5</f>
        <v>574.70000000000005</v>
      </c>
      <c r="BU5" s="47">
        <v>590.4</v>
      </c>
      <c r="CH5" s="47">
        <f>SUM(AY5:BB5)</f>
        <v>1178.9000000000001</v>
      </c>
      <c r="CI5" s="47">
        <f>SUM(BC5:BF5)</f>
        <v>1693.4</v>
      </c>
      <c r="CJ5" s="47">
        <f>SUM(BG5:BJ5)</f>
        <v>1680.1</v>
      </c>
      <c r="CK5" s="47">
        <f>SUM(BK5:BN5)</f>
        <v>1679.7</v>
      </c>
      <c r="CL5" s="47">
        <f>SUM(BO5:BR5)</f>
        <v>1966</v>
      </c>
      <c r="CM5" s="74">
        <f t="shared" ref="CM5:CV6" si="3">CL5*(1+CM10)</f>
        <v>2506.6499999999996</v>
      </c>
      <c r="CN5" s="74">
        <f t="shared" si="3"/>
        <v>3033.0464999999995</v>
      </c>
      <c r="CO5" s="74">
        <f t="shared" si="3"/>
        <v>3563.8296374999995</v>
      </c>
      <c r="CP5" s="74">
        <f t="shared" si="3"/>
        <v>4171.2740771119843</v>
      </c>
      <c r="CQ5" s="74">
        <f t="shared" si="3"/>
        <v>4838.6779294499011</v>
      </c>
      <c r="CR5" s="74">
        <f t="shared" si="3"/>
        <v>5491.8994499256378</v>
      </c>
      <c r="CS5" s="74">
        <f t="shared" si="3"/>
        <v>6096.0083894174586</v>
      </c>
      <c r="CT5" s="74">
        <f t="shared" si="3"/>
        <v>6720.8492493327485</v>
      </c>
      <c r="CU5" s="74">
        <f t="shared" si="3"/>
        <v>7241.7150661560363</v>
      </c>
      <c r="CV5" s="74">
        <f t="shared" si="3"/>
        <v>7730.5308331215683</v>
      </c>
    </row>
    <row r="6" spans="2:153">
      <c r="B6" s="36" t="s">
        <v>1452</v>
      </c>
      <c r="AY6" s="47">
        <v>198.7</v>
      </c>
      <c r="AZ6" s="47">
        <v>130.30000000000001</v>
      </c>
      <c r="BA6" s="47">
        <v>179.4</v>
      </c>
      <c r="BB6" s="47">
        <f>723.8-SUM(AY6:BA6)</f>
        <v>215.39999999999998</v>
      </c>
      <c r="BC6" s="47">
        <v>217.5</v>
      </c>
      <c r="BD6" s="47">
        <v>228</v>
      </c>
      <c r="BE6" s="47">
        <v>232.7</v>
      </c>
      <c r="BF6" s="47">
        <f>916.2-SUM(BC6:BE6)</f>
        <v>238</v>
      </c>
      <c r="BG6" s="47">
        <v>249.3</v>
      </c>
      <c r="BH6" s="47">
        <v>251.7</v>
      </c>
      <c r="BI6" s="47">
        <v>259.89999999999998</v>
      </c>
      <c r="BJ6" s="47">
        <f>1024.2-SUM(BG6:BI6)</f>
        <v>263.30000000000007</v>
      </c>
      <c r="BK6" s="47">
        <v>283.2</v>
      </c>
      <c r="BL6" s="47">
        <v>287.3</v>
      </c>
      <c r="BM6" s="47">
        <v>292.89999999999998</v>
      </c>
      <c r="BN6" s="47">
        <f>1167.8-SUM(BK6:BM6)</f>
        <v>304.39999999999998</v>
      </c>
      <c r="BO6" s="47">
        <v>313.5</v>
      </c>
      <c r="BP6" s="47">
        <v>317.3</v>
      </c>
      <c r="BQ6" s="47">
        <v>328.9</v>
      </c>
      <c r="BR6" s="47">
        <f>1307.1-SUM(BO6:BQ6)</f>
        <v>347.4</v>
      </c>
      <c r="BS6" s="47">
        <v>363</v>
      </c>
      <c r="BT6" s="47">
        <f>754.2-BS6</f>
        <v>391.20000000000005</v>
      </c>
      <c r="BU6" s="47">
        <v>395</v>
      </c>
      <c r="CH6" s="47">
        <f>SUM(AY6:BB6)</f>
        <v>723.8</v>
      </c>
      <c r="CI6" s="47">
        <f>SUM(BC6:BF6)</f>
        <v>916.2</v>
      </c>
      <c r="CJ6" s="47">
        <f>SUM(BG6:BJ6)</f>
        <v>1024.2</v>
      </c>
      <c r="CK6" s="47">
        <f>SUM(BK6:BN6)</f>
        <v>1167.8</v>
      </c>
      <c r="CL6" s="47">
        <f>SUM(BO6:BR6)</f>
        <v>1307.0999999999999</v>
      </c>
      <c r="CM6" s="74">
        <f t="shared" si="3"/>
        <v>1555.4489999999998</v>
      </c>
      <c r="CN6" s="74">
        <f t="shared" si="3"/>
        <v>1788.7663499999996</v>
      </c>
      <c r="CO6" s="74">
        <f t="shared" si="3"/>
        <v>2030.2498072499995</v>
      </c>
      <c r="CP6" s="74">
        <f t="shared" si="3"/>
        <v>2284.0310331562496</v>
      </c>
      <c r="CQ6" s="74">
        <f t="shared" si="3"/>
        <v>2558.1147571349998</v>
      </c>
      <c r="CR6" s="74">
        <f t="shared" si="3"/>
        <v>2839.5073804198501</v>
      </c>
      <c r="CS6" s="74">
        <f t="shared" si="3"/>
        <v>3137.6556553639343</v>
      </c>
      <c r="CT6" s="74">
        <f t="shared" si="3"/>
        <v>3420.0446643466885</v>
      </c>
      <c r="CU6" s="74">
        <f t="shared" si="3"/>
        <v>3676.5480141726898</v>
      </c>
      <c r="CV6" s="74">
        <f t="shared" si="3"/>
        <v>3915.5236350939144</v>
      </c>
    </row>
    <row r="7" spans="2:153" s="2" customFormat="1" ht="15">
      <c r="B7" s="33" t="s">
        <v>122</v>
      </c>
      <c r="C7" s="49"/>
      <c r="AY7" s="50">
        <f t="shared" ref="AY7:BR7" si="4">SUM(AY4:AY6)</f>
        <v>1099.5</v>
      </c>
      <c r="AZ7" s="50">
        <f t="shared" si="4"/>
        <v>852.09999999999991</v>
      </c>
      <c r="BA7" s="50">
        <f t="shared" si="4"/>
        <v>1077.7</v>
      </c>
      <c r="BB7" s="50">
        <f t="shared" si="4"/>
        <v>1329.1</v>
      </c>
      <c r="BC7" s="50">
        <f t="shared" si="4"/>
        <v>1292.0999999999999</v>
      </c>
      <c r="BD7" s="50">
        <f t="shared" si="4"/>
        <v>1464</v>
      </c>
      <c r="BE7" s="50">
        <f t="shared" si="4"/>
        <v>1403.3</v>
      </c>
      <c r="BF7" s="50">
        <f t="shared" si="4"/>
        <v>1550.7000000000003</v>
      </c>
      <c r="BG7" s="50">
        <f t="shared" si="4"/>
        <v>1487.7</v>
      </c>
      <c r="BH7" s="50">
        <f t="shared" si="4"/>
        <v>1522.1000000000001</v>
      </c>
      <c r="BI7" s="50">
        <f t="shared" si="4"/>
        <v>1557.4</v>
      </c>
      <c r="BJ7" s="50">
        <f t="shared" si="4"/>
        <v>1655.0000000000005</v>
      </c>
      <c r="BK7" s="50">
        <f t="shared" si="4"/>
        <v>1696.2</v>
      </c>
      <c r="BL7" s="50">
        <f t="shared" si="4"/>
        <v>1755.9</v>
      </c>
      <c r="BM7" s="50">
        <f t="shared" si="4"/>
        <v>1743.7000000000003</v>
      </c>
      <c r="BN7" s="50">
        <f t="shared" si="4"/>
        <v>1928.3000000000002</v>
      </c>
      <c r="BO7" s="50">
        <f t="shared" si="4"/>
        <v>1890.6000000000001</v>
      </c>
      <c r="BP7" s="50">
        <f t="shared" si="4"/>
        <v>2009.9</v>
      </c>
      <c r="BQ7" s="50">
        <f t="shared" si="4"/>
        <v>2038.1</v>
      </c>
      <c r="BR7" s="50">
        <f t="shared" si="4"/>
        <v>2413.5</v>
      </c>
      <c r="BS7" s="50">
        <f>SUM(BS4:BS6)</f>
        <v>2253.4</v>
      </c>
      <c r="BT7" s="50">
        <f>SUM(BT4:BT6)</f>
        <v>2440</v>
      </c>
      <c r="BU7" s="50">
        <f>SUM(BU4:BU6)</f>
        <v>2504.1999999999998</v>
      </c>
      <c r="BV7" s="34"/>
      <c r="BW7" s="34"/>
      <c r="BX7" s="34"/>
      <c r="BY7" s="34"/>
      <c r="BZ7" s="34"/>
      <c r="CH7" s="50">
        <f>SUM(AY7:BB7)</f>
        <v>4358.3999999999996</v>
      </c>
      <c r="CI7" s="50">
        <f>SUM(BC7:BF7)</f>
        <v>5710.1</v>
      </c>
      <c r="CJ7" s="50">
        <f>SUM(BG7:BJ7)</f>
        <v>6222.2000000000007</v>
      </c>
      <c r="CK7" s="50">
        <f>SUM(BK7:BN7)</f>
        <v>7124.1000000000013</v>
      </c>
      <c r="CL7" s="50">
        <f>SUM(BO7:BR7)</f>
        <v>8352.1</v>
      </c>
      <c r="CM7" s="75">
        <f>SUM(CM4:CM6)</f>
        <v>10080.714</v>
      </c>
      <c r="CN7" s="75">
        <f t="shared" ref="CN7:CV7" si="5">SUM(CN4:CN6)</f>
        <v>11863.5924</v>
      </c>
      <c r="CO7" s="75">
        <f t="shared" si="5"/>
        <v>13783.6690614</v>
      </c>
      <c r="CP7" s="75">
        <f t="shared" si="5"/>
        <v>15934.75509154061</v>
      </c>
      <c r="CQ7" s="75">
        <f t="shared" si="5"/>
        <v>18321.858790001315</v>
      </c>
      <c r="CR7" s="75">
        <f t="shared" si="5"/>
        <v>20840.607518757282</v>
      </c>
      <c r="CS7" s="75">
        <f t="shared" si="5"/>
        <v>23243.9688158026</v>
      </c>
      <c r="CT7" s="75">
        <f t="shared" si="5"/>
        <v>25692.332209512981</v>
      </c>
      <c r="CU7" s="75">
        <f t="shared" si="5"/>
        <v>27869.330822787291</v>
      </c>
      <c r="CV7" s="75">
        <f t="shared" si="5"/>
        <v>29783.696952646147</v>
      </c>
      <c r="CW7" s="34"/>
      <c r="CX7" s="34"/>
      <c r="CY7" s="34"/>
      <c r="CZ7" s="34"/>
      <c r="DA7" s="34"/>
      <c r="DB7" s="34"/>
      <c r="DC7" s="34"/>
      <c r="DD7" s="34"/>
      <c r="DE7" s="34"/>
      <c r="DF7" s="34"/>
      <c r="DG7" s="34"/>
      <c r="DH7" s="34"/>
      <c r="DI7" s="34"/>
      <c r="DJ7" s="34"/>
      <c r="DK7" s="34"/>
      <c r="DL7" s="34"/>
      <c r="DM7" s="34"/>
      <c r="DN7" s="34"/>
      <c r="DO7" s="34"/>
      <c r="DP7" s="34"/>
      <c r="DQ7" s="34"/>
      <c r="DR7" s="34"/>
      <c r="DS7" s="34"/>
      <c r="DT7" s="34"/>
      <c r="DU7" s="34"/>
      <c r="DV7" s="34"/>
      <c r="DW7" s="34"/>
      <c r="DX7" s="34"/>
      <c r="DY7" s="34"/>
      <c r="DZ7" s="34"/>
      <c r="EA7" s="34"/>
      <c r="EB7" s="34"/>
      <c r="EC7" s="34"/>
      <c r="ED7" s="34"/>
      <c r="EE7" s="34"/>
      <c r="EF7" s="34"/>
      <c r="EG7" s="34"/>
      <c r="EH7" s="34"/>
      <c r="EI7" s="34"/>
      <c r="EJ7" s="34"/>
      <c r="EK7" s="34"/>
      <c r="EL7" s="34"/>
      <c r="EM7" s="34"/>
      <c r="EN7" s="34"/>
      <c r="EO7" s="34"/>
      <c r="EP7" s="34"/>
      <c r="EQ7" s="34"/>
      <c r="ER7" s="34"/>
      <c r="ES7" s="34"/>
      <c r="ET7" s="34"/>
      <c r="EU7" s="34"/>
      <c r="EV7" s="34"/>
    </row>
    <row r="8" spans="2:153">
      <c r="B8" s="36"/>
      <c r="C8" s="36"/>
      <c r="BU8" s="37"/>
    </row>
    <row r="9" spans="2:153">
      <c r="B9" s="37" t="s">
        <v>1453</v>
      </c>
      <c r="BC9" s="48">
        <f t="shared" ref="BC9:BR9" si="6">BC4/AY4-1</f>
        <v>0.14315789473684215</v>
      </c>
      <c r="BD9" s="48">
        <f t="shared" si="6"/>
        <v>0.72829861111111094</v>
      </c>
      <c r="BE9" s="48">
        <f t="shared" si="6"/>
        <v>0.19809674861221249</v>
      </c>
      <c r="BF9" s="48">
        <f t="shared" si="6"/>
        <v>0.12839737582005673</v>
      </c>
      <c r="BG9" s="48">
        <f t="shared" si="6"/>
        <v>0.14789630259243514</v>
      </c>
      <c r="BH9" s="48">
        <f t="shared" si="6"/>
        <v>0.12418382722250132</v>
      </c>
      <c r="BI9" s="48">
        <f t="shared" si="6"/>
        <v>0.15382578766216581</v>
      </c>
      <c r="BJ9" s="48">
        <f t="shared" si="6"/>
        <v>0.11616041765543428</v>
      </c>
      <c r="BK9" s="48">
        <f t="shared" si="6"/>
        <v>0.2163396272985314</v>
      </c>
      <c r="BL9" s="48">
        <f t="shared" si="6"/>
        <v>0.2017200938232997</v>
      </c>
      <c r="BM9" s="48">
        <f t="shared" si="6"/>
        <v>0.22923359339146399</v>
      </c>
      <c r="BN9" s="48">
        <f t="shared" si="6"/>
        <v>0.21579674710322094</v>
      </c>
      <c r="BO9" s="48">
        <f t="shared" si="6"/>
        <v>0.17583198051948057</v>
      </c>
      <c r="BP9" s="48">
        <f t="shared" si="6"/>
        <v>0.15661306812900833</v>
      </c>
      <c r="BQ9" s="48">
        <f t="shared" si="6"/>
        <v>0.17995146537240991</v>
      </c>
      <c r="BR9" s="48">
        <f t="shared" si="6"/>
        <v>0.23415231266940606</v>
      </c>
      <c r="BS9" s="48">
        <f>BS4/BO4-1</f>
        <v>0.18017085166968672</v>
      </c>
      <c r="BT9" s="48">
        <f>BT4/BP4-1</f>
        <v>0.18458694953391186</v>
      </c>
      <c r="BU9" s="48">
        <f>BU4/BQ4-1</f>
        <v>0.20139218478088905</v>
      </c>
      <c r="CH9" s="48"/>
      <c r="CI9" s="48">
        <f t="shared" ref="CI9:CK9" si="7">CI4/CH4-1</f>
        <v>0.26257278983589205</v>
      </c>
      <c r="CJ9" s="48">
        <f t="shared" si="7"/>
        <v>0.13462344783099511</v>
      </c>
      <c r="CK9" s="48">
        <f t="shared" si="7"/>
        <v>0.21566843855709372</v>
      </c>
      <c r="CL9" s="48">
        <f>CL4/CK4-1</f>
        <v>0.18762568395454315</v>
      </c>
      <c r="CM9" s="72">
        <v>0.185</v>
      </c>
      <c r="CN9" s="72">
        <v>0.17</v>
      </c>
      <c r="CO9" s="72">
        <v>0.16300000000000001</v>
      </c>
      <c r="CP9" s="72">
        <v>0.1575</v>
      </c>
      <c r="CQ9" s="72">
        <v>0.1525</v>
      </c>
      <c r="CR9" s="72">
        <v>0.14499999999999999</v>
      </c>
      <c r="CS9" s="72">
        <v>0.12</v>
      </c>
      <c r="CT9" s="72">
        <v>0.11</v>
      </c>
      <c r="CU9" s="72">
        <v>0.09</v>
      </c>
      <c r="CV9" s="72">
        <v>7.0000000000000007E-2</v>
      </c>
    </row>
    <row r="10" spans="2:153">
      <c r="B10" s="37" t="s">
        <v>1454</v>
      </c>
      <c r="BC10" s="48">
        <f t="shared" ref="BC10:BR10" si="8">BC5/AY5-1</f>
        <v>0.30144722908577481</v>
      </c>
      <c r="BD10" s="48">
        <f t="shared" si="8"/>
        <v>0.68429118773946374</v>
      </c>
      <c r="BE10" s="48">
        <f t="shared" si="8"/>
        <v>0.55041075429424935</v>
      </c>
      <c r="BF10" s="48">
        <f t="shared" si="8"/>
        <v>0.28107960741548488</v>
      </c>
      <c r="BG10" s="48">
        <f t="shared" si="8"/>
        <v>0.161106590724166</v>
      </c>
      <c r="BH10" s="48">
        <f t="shared" si="8"/>
        <v>-0.14672429481346683</v>
      </c>
      <c r="BI10" s="48">
        <f t="shared" si="8"/>
        <v>2.5770712909441107E-2</v>
      </c>
      <c r="BJ10" s="48">
        <f t="shared" si="8"/>
        <v>-4.022132368589082E-2</v>
      </c>
      <c r="BK10" s="48">
        <f t="shared" si="8"/>
        <v>-1.6351319785098406E-3</v>
      </c>
      <c r="BL10" s="48">
        <f t="shared" si="8"/>
        <v>4.692082111436946E-2</v>
      </c>
      <c r="BM10" s="48">
        <f t="shared" si="8"/>
        <v>-0.10918055881662359</v>
      </c>
      <c r="BN10" s="48">
        <f t="shared" si="8"/>
        <v>6.474501108647468E-2</v>
      </c>
      <c r="BO10" s="48">
        <f t="shared" si="8"/>
        <v>-2.1525503041647132E-2</v>
      </c>
      <c r="BP10" s="48">
        <f t="shared" si="8"/>
        <v>0.14132925897631776</v>
      </c>
      <c r="BQ10" s="48">
        <f t="shared" si="8"/>
        <v>0.17290458618871907</v>
      </c>
      <c r="BR10" s="48">
        <f t="shared" si="8"/>
        <v>0.3631820074968759</v>
      </c>
      <c r="BS10" s="48">
        <f t="shared" ref="BS10:BU12" si="9">BS5/BO5-1</f>
        <v>0.24988043998087051</v>
      </c>
      <c r="BT10" s="48">
        <f t="shared" si="9"/>
        <v>0.28224007139669793</v>
      </c>
      <c r="BU10" s="48">
        <f t="shared" si="9"/>
        <v>0.32674157303370777</v>
      </c>
      <c r="CH10" s="48"/>
      <c r="CI10" s="48">
        <f t="shared" ref="CI10:CK10" si="10">CI5/CH5-1</f>
        <v>0.43642378488421407</v>
      </c>
      <c r="CJ10" s="48">
        <f t="shared" si="10"/>
        <v>-7.8540214952168563E-3</v>
      </c>
      <c r="CK10" s="48">
        <f t="shared" si="10"/>
        <v>-2.380810666030575E-4</v>
      </c>
      <c r="CL10" s="48">
        <f>CL5/CK5-1</f>
        <v>0.17044710364946125</v>
      </c>
      <c r="CM10" s="72">
        <v>0.27500000000000002</v>
      </c>
      <c r="CN10" s="72">
        <v>0.21</v>
      </c>
      <c r="CO10" s="72">
        <v>0.17499999999999999</v>
      </c>
      <c r="CP10" s="72">
        <v>0.17044710364946125</v>
      </c>
      <c r="CQ10" s="72">
        <v>0.16</v>
      </c>
      <c r="CR10" s="72">
        <v>0.13500000000000001</v>
      </c>
      <c r="CS10" s="72">
        <v>0.11</v>
      </c>
      <c r="CT10" s="72">
        <v>0.10249999999999999</v>
      </c>
      <c r="CU10" s="72">
        <v>7.7499999999999999E-2</v>
      </c>
      <c r="CV10" s="72">
        <v>6.7500000000000004E-2</v>
      </c>
    </row>
    <row r="11" spans="2:153">
      <c r="B11" s="37" t="s">
        <v>1455</v>
      </c>
      <c r="BC11" s="48">
        <f t="shared" ref="BC11:BR11" si="11">BC6/AY6-1</f>
        <v>9.4614997483643659E-2</v>
      </c>
      <c r="BD11" s="48">
        <f t="shared" si="11"/>
        <v>0.74980813507290844</v>
      </c>
      <c r="BE11" s="48">
        <f t="shared" si="11"/>
        <v>0.29710144927536231</v>
      </c>
      <c r="BF11" s="48">
        <f t="shared" si="11"/>
        <v>0.10492107706592391</v>
      </c>
      <c r="BG11" s="48">
        <f t="shared" si="11"/>
        <v>0.14620689655172425</v>
      </c>
      <c r="BH11" s="48">
        <f t="shared" si="11"/>
        <v>0.10394736842105257</v>
      </c>
      <c r="BI11" s="48">
        <f t="shared" si="11"/>
        <v>0.11688869789428447</v>
      </c>
      <c r="BJ11" s="48">
        <f t="shared" si="11"/>
        <v>0.10630252100840365</v>
      </c>
      <c r="BK11" s="48">
        <f t="shared" si="11"/>
        <v>0.1359807460890492</v>
      </c>
      <c r="BL11" s="48">
        <f t="shared" si="11"/>
        <v>0.14143822010329776</v>
      </c>
      <c r="BM11" s="48">
        <f t="shared" si="11"/>
        <v>0.12697191227395144</v>
      </c>
      <c r="BN11" s="48">
        <f t="shared" si="11"/>
        <v>0.15609570831750808</v>
      </c>
      <c r="BO11" s="48">
        <f t="shared" si="11"/>
        <v>0.10699152542372881</v>
      </c>
      <c r="BP11" s="48">
        <f t="shared" si="11"/>
        <v>0.10442046641141656</v>
      </c>
      <c r="BQ11" s="48">
        <f t="shared" si="11"/>
        <v>0.12290884260839885</v>
      </c>
      <c r="BR11" s="48">
        <f t="shared" si="11"/>
        <v>0.1412614980289093</v>
      </c>
      <c r="BS11" s="48">
        <f t="shared" si="9"/>
        <v>0.15789473684210531</v>
      </c>
      <c r="BT11" s="48">
        <f t="shared" si="9"/>
        <v>0.2329026158209897</v>
      </c>
      <c r="BU11" s="48">
        <f t="shared" si="9"/>
        <v>0.20097294010337508</v>
      </c>
      <c r="CH11" s="48"/>
      <c r="CI11" s="48">
        <f t="shared" ref="CI11:CK12" si="12">CI6/CH6-1</f>
        <v>0.26581928709588287</v>
      </c>
      <c r="CJ11" s="48">
        <f t="shared" si="12"/>
        <v>0.11787819253438103</v>
      </c>
      <c r="CK11" s="48">
        <f t="shared" si="12"/>
        <v>0.14020699082210486</v>
      </c>
      <c r="CL11" s="48">
        <f>CL6/CK6-1</f>
        <v>0.11928412399383448</v>
      </c>
      <c r="CM11" s="72">
        <v>0.19</v>
      </c>
      <c r="CN11" s="72">
        <v>0.15</v>
      </c>
      <c r="CO11" s="72">
        <v>0.13500000000000001</v>
      </c>
      <c r="CP11" s="72">
        <v>0.125</v>
      </c>
      <c r="CQ11" s="72">
        <v>0.12</v>
      </c>
      <c r="CR11" s="72">
        <v>0.11</v>
      </c>
      <c r="CS11" s="72">
        <v>0.105</v>
      </c>
      <c r="CT11" s="72">
        <v>0.09</v>
      </c>
      <c r="CU11" s="72">
        <v>7.4999999999999997E-2</v>
      </c>
      <c r="CV11" s="72">
        <v>6.5000000000000002E-2</v>
      </c>
    </row>
    <row r="12" spans="2:153" s="2" customFormat="1" ht="15" customHeight="1">
      <c r="B12" s="33" t="s">
        <v>1456</v>
      </c>
      <c r="BC12" s="51">
        <f t="shared" ref="BC12:BR12" si="13">BC7/AY7-1</f>
        <v>0.1751705320600272</v>
      </c>
      <c r="BD12" s="51">
        <f t="shared" si="13"/>
        <v>0.71810820326252811</v>
      </c>
      <c r="BE12" s="51">
        <f t="shared" si="13"/>
        <v>0.3021248956110234</v>
      </c>
      <c r="BF12" s="51">
        <f t="shared" si="13"/>
        <v>0.16672936573621278</v>
      </c>
      <c r="BG12" s="51">
        <f t="shared" si="13"/>
        <v>0.15138147202228946</v>
      </c>
      <c r="BH12" s="51">
        <f t="shared" si="13"/>
        <v>3.9685792349726912E-2</v>
      </c>
      <c r="BI12" s="51">
        <f t="shared" si="13"/>
        <v>0.10981258462196264</v>
      </c>
      <c r="BJ12" s="51">
        <f t="shared" si="13"/>
        <v>6.7259947120655195E-2</v>
      </c>
      <c r="BK12" s="51">
        <f t="shared" si="13"/>
        <v>0.14014922363379712</v>
      </c>
      <c r="BL12" s="51">
        <f t="shared" si="13"/>
        <v>0.15360357400959201</v>
      </c>
      <c r="BM12" s="51">
        <f t="shared" si="13"/>
        <v>0.11962244766919228</v>
      </c>
      <c r="BN12" s="51">
        <f t="shared" si="13"/>
        <v>0.16513595166163131</v>
      </c>
      <c r="BO12" s="51">
        <f t="shared" si="13"/>
        <v>0.11460912628227815</v>
      </c>
      <c r="BP12" s="51">
        <f t="shared" si="13"/>
        <v>0.14465516259468081</v>
      </c>
      <c r="BQ12" s="51">
        <f t="shared" si="13"/>
        <v>0.16883638240522991</v>
      </c>
      <c r="BR12" s="51">
        <f t="shared" si="13"/>
        <v>0.25162059845459717</v>
      </c>
      <c r="BS12" s="51">
        <f t="shared" si="9"/>
        <v>0.19189675235375003</v>
      </c>
      <c r="BT12" s="51">
        <f t="shared" si="9"/>
        <v>0.21399074580824906</v>
      </c>
      <c r="BU12" s="51">
        <f t="shared" si="9"/>
        <v>0.22869339090329222</v>
      </c>
      <c r="BV12" s="34"/>
      <c r="BW12" s="34"/>
      <c r="BX12" s="34"/>
      <c r="BY12" s="34"/>
      <c r="BZ12" s="34"/>
      <c r="CH12" s="51"/>
      <c r="CI12" s="51">
        <f t="shared" si="12"/>
        <v>0.31013674743024988</v>
      </c>
      <c r="CJ12" s="51">
        <f t="shared" si="12"/>
        <v>8.968319293882776E-2</v>
      </c>
      <c r="CK12" s="51">
        <f t="shared" si="12"/>
        <v>0.1449487319597571</v>
      </c>
      <c r="CL12" s="51">
        <f t="shared" ref="CL12" si="14">CL7/CK7-1</f>
        <v>0.17237265058042395</v>
      </c>
      <c r="CM12" s="73">
        <f>CM7/CL7-1</f>
        <v>0.20696758898959544</v>
      </c>
      <c r="CN12" s="73">
        <f t="shared" ref="CN12:CV12" si="15">CN7/CM7-1</f>
        <v>0.17686032953618169</v>
      </c>
      <c r="CO12" s="73">
        <f t="shared" si="15"/>
        <v>0.16184614210110593</v>
      </c>
      <c r="CP12" s="73">
        <f t="shared" si="15"/>
        <v>0.15606048146966511</v>
      </c>
      <c r="CQ12" s="73">
        <f t="shared" si="15"/>
        <v>0.14980485641275809</v>
      </c>
      <c r="CR12" s="73">
        <f t="shared" si="15"/>
        <v>0.13747233605634546</v>
      </c>
      <c r="CS12" s="73">
        <f t="shared" si="15"/>
        <v>0.11532107664722391</v>
      </c>
      <c r="CT12" s="73">
        <f t="shared" si="15"/>
        <v>0.10533327647754542</v>
      </c>
      <c r="CU12" s="73">
        <f t="shared" si="15"/>
        <v>8.4733398101875856E-2</v>
      </c>
      <c r="CV12" s="73">
        <f t="shared" si="15"/>
        <v>6.8690782065480294E-2</v>
      </c>
      <c r="CW12" s="34"/>
      <c r="CX12" s="34"/>
      <c r="CY12" s="34"/>
      <c r="CZ12" s="34"/>
      <c r="DA12" s="34"/>
      <c r="DB12" s="34"/>
      <c r="DC12" s="34"/>
      <c r="DD12" s="34"/>
      <c r="DE12" s="34"/>
      <c r="DF12" s="34"/>
      <c r="DG12" s="34"/>
      <c r="DH12" s="34"/>
      <c r="DI12" s="34"/>
      <c r="DJ12" s="34"/>
      <c r="DK12" s="34"/>
      <c r="DL12" s="34"/>
      <c r="DM12" s="34"/>
      <c r="DN12" s="34"/>
      <c r="DO12" s="34"/>
      <c r="DP12" s="34"/>
      <c r="DQ12" s="34"/>
      <c r="DR12" s="34"/>
      <c r="DS12" s="34"/>
      <c r="DT12" s="34"/>
      <c r="DU12" s="34"/>
      <c r="DV12" s="34"/>
      <c r="DW12" s="34"/>
      <c r="DX12" s="34"/>
      <c r="DY12" s="34"/>
      <c r="DZ12" s="34"/>
      <c r="EA12" s="34"/>
      <c r="EB12" s="34"/>
      <c r="EC12" s="34"/>
      <c r="ED12" s="34"/>
      <c r="EE12" s="34"/>
      <c r="EF12" s="34"/>
      <c r="EG12" s="34"/>
      <c r="EH12" s="34"/>
      <c r="EI12" s="34"/>
      <c r="EJ12" s="34"/>
      <c r="EK12" s="34"/>
      <c r="EL12" s="34"/>
      <c r="EM12" s="34"/>
      <c r="EN12" s="34"/>
      <c r="EO12" s="34"/>
      <c r="EP12" s="34"/>
      <c r="EQ12" s="34"/>
      <c r="ER12" s="34"/>
      <c r="ES12" s="34"/>
      <c r="ET12" s="34"/>
      <c r="EU12" s="34"/>
      <c r="EV12" s="34"/>
    </row>
    <row r="13" spans="2:153">
      <c r="BT13" s="1"/>
      <c r="BU13" s="1"/>
    </row>
    <row r="14" spans="2:153">
      <c r="B14" s="37" t="s">
        <v>1457</v>
      </c>
      <c r="AY14" s="48">
        <f t="shared" ref="AY14:BR14" si="16">AY4/AY7</f>
        <v>0.56161891768985905</v>
      </c>
      <c r="AZ14" s="48">
        <f t="shared" si="16"/>
        <v>0.54078159840394324</v>
      </c>
      <c r="BA14" s="48">
        <f t="shared" si="16"/>
        <v>0.58504221954161639</v>
      </c>
      <c r="BB14" s="48">
        <f t="shared" si="16"/>
        <v>0.56195922052516734</v>
      </c>
      <c r="BC14" s="48">
        <f t="shared" si="16"/>
        <v>0.54631994427675878</v>
      </c>
      <c r="BD14" s="48">
        <f t="shared" si="16"/>
        <v>0.54398907103825134</v>
      </c>
      <c r="BE14" s="48">
        <f t="shared" si="16"/>
        <v>0.53830257250766056</v>
      </c>
      <c r="BF14" s="48">
        <f t="shared" si="16"/>
        <v>0.54349648545818019</v>
      </c>
      <c r="BG14" s="48">
        <f t="shared" si="16"/>
        <v>0.54466626335954826</v>
      </c>
      <c r="BH14" s="48">
        <f t="shared" si="16"/>
        <v>0.58820051244990468</v>
      </c>
      <c r="BI14" s="48">
        <f t="shared" si="16"/>
        <v>0.55965069988442273</v>
      </c>
      <c r="BJ14" s="48">
        <f t="shared" si="16"/>
        <v>0.56839879154078554</v>
      </c>
      <c r="BK14" s="48">
        <f t="shared" si="16"/>
        <v>0.58106355382619979</v>
      </c>
      <c r="BL14" s="48">
        <f t="shared" si="16"/>
        <v>0.61273421037644515</v>
      </c>
      <c r="BM14" s="48">
        <f t="shared" si="16"/>
        <v>0.61444055743533865</v>
      </c>
      <c r="BN14" s="48">
        <f t="shared" si="16"/>
        <v>0.59311310480734336</v>
      </c>
      <c r="BO14" s="48">
        <f t="shared" si="16"/>
        <v>0.61298000634719141</v>
      </c>
      <c r="BP14" s="48">
        <f t="shared" si="16"/>
        <v>0.61913528036220711</v>
      </c>
      <c r="BQ14" s="48">
        <f t="shared" si="16"/>
        <v>0.62028359746823025</v>
      </c>
      <c r="BR14" s="48">
        <f t="shared" si="16"/>
        <v>0.58483530142945928</v>
      </c>
      <c r="BS14" s="48">
        <f>BS4/BS7</f>
        <v>0.60694949853554625</v>
      </c>
      <c r="BT14" s="48">
        <f>BT4/BT7</f>
        <v>0.6041393442622951</v>
      </c>
      <c r="BU14" s="48">
        <f>BU4/BU7</f>
        <v>0.60650107818864307</v>
      </c>
      <c r="CH14" s="48">
        <f t="shared" ref="CH14:CK14" si="17">CH4/CH7</f>
        <v>0.56344071218795888</v>
      </c>
      <c r="CI14" s="48">
        <f t="shared" si="17"/>
        <v>0.5429852366858724</v>
      </c>
      <c r="CJ14" s="48">
        <f t="shared" si="17"/>
        <v>0.56537880492430326</v>
      </c>
      <c r="CK14" s="48">
        <f t="shared" si="17"/>
        <v>0.60030038882104397</v>
      </c>
      <c r="CL14" s="48">
        <f>CL4/CL7</f>
        <v>0.60811053507501101</v>
      </c>
    </row>
    <row r="15" spans="2:153">
      <c r="B15" s="37" t="s">
        <v>1459</v>
      </c>
      <c r="AY15" s="48">
        <f t="shared" ref="AY15:BR15" si="18">AY5/AY7</f>
        <v>0.25766257389722602</v>
      </c>
      <c r="AZ15" s="48">
        <f t="shared" si="18"/>
        <v>0.30630207722098346</v>
      </c>
      <c r="BA15" s="48">
        <f t="shared" si="18"/>
        <v>0.24849215922798554</v>
      </c>
      <c r="BB15" s="48">
        <f t="shared" si="18"/>
        <v>0.27597622451282838</v>
      </c>
      <c r="BC15" s="48">
        <f t="shared" si="18"/>
        <v>0.28534943115857908</v>
      </c>
      <c r="BD15" s="48">
        <f t="shared" si="18"/>
        <v>0.30027322404371587</v>
      </c>
      <c r="BE15" s="48">
        <f t="shared" si="18"/>
        <v>0.29587401125917479</v>
      </c>
      <c r="BF15" s="48">
        <f t="shared" si="18"/>
        <v>0.3030244405752241</v>
      </c>
      <c r="BG15" s="48">
        <f t="shared" si="18"/>
        <v>0.28775962895745111</v>
      </c>
      <c r="BH15" s="48">
        <f t="shared" si="18"/>
        <v>0.24643584521384929</v>
      </c>
      <c r="BI15" s="48">
        <f t="shared" si="18"/>
        <v>0.27346860151534608</v>
      </c>
      <c r="BJ15" s="48">
        <f t="shared" si="18"/>
        <v>0.27250755287009054</v>
      </c>
      <c r="BK15" s="48">
        <f t="shared" si="18"/>
        <v>0.25197500294776559</v>
      </c>
      <c r="BL15" s="48">
        <f t="shared" si="18"/>
        <v>0.22364599350760292</v>
      </c>
      <c r="BM15" s="48">
        <f t="shared" si="18"/>
        <v>0.2175832998795664</v>
      </c>
      <c r="BN15" s="48">
        <f t="shared" si="18"/>
        <v>0.24902764092724161</v>
      </c>
      <c r="BO15" s="48">
        <f t="shared" si="18"/>
        <v>0.22119961916851791</v>
      </c>
      <c r="BP15" s="48">
        <f t="shared" si="18"/>
        <v>0.22299616896363</v>
      </c>
      <c r="BQ15" s="48">
        <f t="shared" si="18"/>
        <v>0.2183406113537118</v>
      </c>
      <c r="BR15" s="48">
        <f t="shared" si="18"/>
        <v>0.27122436295835917</v>
      </c>
      <c r="BS15" s="48">
        <f>BS5/BS7</f>
        <v>0.23196059288186741</v>
      </c>
      <c r="BT15" s="48">
        <f>BT5/BT7</f>
        <v>0.23553278688524593</v>
      </c>
      <c r="BU15" s="48">
        <f>BU5/BU7</f>
        <v>0.23576391662007828</v>
      </c>
      <c r="CH15" s="48">
        <f t="shared" ref="CH15:CK15" si="19">CH5/CH7</f>
        <v>0.27048917033773867</v>
      </c>
      <c r="CI15" s="48">
        <f t="shared" si="19"/>
        <v>0.296562231834819</v>
      </c>
      <c r="CJ15" s="48">
        <f t="shared" si="19"/>
        <v>0.2700170357751277</v>
      </c>
      <c r="CK15" s="48">
        <f t="shared" si="19"/>
        <v>0.23577715079799549</v>
      </c>
      <c r="CL15" s="48">
        <f>CL5/CL7</f>
        <v>0.23538990194082923</v>
      </c>
    </row>
    <row r="16" spans="2:153">
      <c r="B16" s="37" t="s">
        <v>1458</v>
      </c>
      <c r="AY16" s="48">
        <f t="shared" ref="AY16:BR16" si="20">AY6/AY7</f>
        <v>0.18071850841291495</v>
      </c>
      <c r="AZ16" s="48">
        <f t="shared" si="20"/>
        <v>0.15291632437507338</v>
      </c>
      <c r="BA16" s="48">
        <f t="shared" si="20"/>
        <v>0.16646562123039807</v>
      </c>
      <c r="BB16" s="48">
        <f t="shared" si="20"/>
        <v>0.16206455496200436</v>
      </c>
      <c r="BC16" s="48">
        <f t="shared" si="20"/>
        <v>0.16833062456466219</v>
      </c>
      <c r="BD16" s="48">
        <f t="shared" si="20"/>
        <v>0.15573770491803279</v>
      </c>
      <c r="BE16" s="48">
        <f t="shared" si="20"/>
        <v>0.16582341623316468</v>
      </c>
      <c r="BF16" s="48">
        <f t="shared" si="20"/>
        <v>0.15347907396659571</v>
      </c>
      <c r="BG16" s="48">
        <f t="shared" si="20"/>
        <v>0.1675741076830006</v>
      </c>
      <c r="BH16" s="48">
        <f t="shared" si="20"/>
        <v>0.16536364233624595</v>
      </c>
      <c r="BI16" s="48">
        <f t="shared" si="20"/>
        <v>0.16688069860023114</v>
      </c>
      <c r="BJ16" s="48">
        <f t="shared" si="20"/>
        <v>0.15909365558912386</v>
      </c>
      <c r="BK16" s="48">
        <f t="shared" si="20"/>
        <v>0.16696144322603465</v>
      </c>
      <c r="BL16" s="48">
        <f t="shared" si="20"/>
        <v>0.16361979611595193</v>
      </c>
      <c r="BM16" s="48">
        <f t="shared" si="20"/>
        <v>0.16797614268509486</v>
      </c>
      <c r="BN16" s="48">
        <f t="shared" si="20"/>
        <v>0.15785925426541511</v>
      </c>
      <c r="BO16" s="48">
        <f t="shared" si="20"/>
        <v>0.16582037448429068</v>
      </c>
      <c r="BP16" s="48">
        <f t="shared" si="20"/>
        <v>0.15786855067416289</v>
      </c>
      <c r="BQ16" s="48">
        <f t="shared" si="20"/>
        <v>0.161375791178058</v>
      </c>
      <c r="BR16" s="48">
        <f t="shared" si="20"/>
        <v>0.14394033561218147</v>
      </c>
      <c r="BS16" s="48">
        <f>BS6/BS7</f>
        <v>0.16108990858258632</v>
      </c>
      <c r="BT16" s="48">
        <f>BT6/BT7</f>
        <v>0.16032786885245903</v>
      </c>
      <c r="BU16" s="48">
        <f>BU6/BU7</f>
        <v>0.15773500519127867</v>
      </c>
      <c r="CH16" s="48">
        <f t="shared" ref="CH16:CK16" si="21">CH6/CH7</f>
        <v>0.1660701174743025</v>
      </c>
      <c r="CI16" s="48">
        <f t="shared" si="21"/>
        <v>0.1604525314793086</v>
      </c>
      <c r="CJ16" s="48">
        <f t="shared" si="21"/>
        <v>0.16460415930056893</v>
      </c>
      <c r="CK16" s="48">
        <f t="shared" si="21"/>
        <v>0.16392246038096037</v>
      </c>
      <c r="CL16" s="48">
        <f>CL6/CL7</f>
        <v>0.15649956298415965</v>
      </c>
    </row>
    <row r="17" spans="2:152">
      <c r="BT17" s="1"/>
      <c r="BU17" s="1"/>
    </row>
    <row r="18" spans="2:152" s="2" customFormat="1" ht="15">
      <c r="B18" s="2" t="s">
        <v>122</v>
      </c>
      <c r="AY18" s="50">
        <f t="shared" ref="AY18:BS18" si="22">AY7</f>
        <v>1099.5</v>
      </c>
      <c r="AZ18" s="50">
        <f t="shared" si="22"/>
        <v>852.09999999999991</v>
      </c>
      <c r="BA18" s="50">
        <f t="shared" si="22"/>
        <v>1077.7</v>
      </c>
      <c r="BB18" s="50">
        <f t="shared" si="22"/>
        <v>1329.1</v>
      </c>
      <c r="BC18" s="50">
        <f t="shared" si="22"/>
        <v>1292.0999999999999</v>
      </c>
      <c r="BD18" s="50">
        <f t="shared" si="22"/>
        <v>1464</v>
      </c>
      <c r="BE18" s="50">
        <f t="shared" si="22"/>
        <v>1403.3</v>
      </c>
      <c r="BF18" s="50">
        <f t="shared" si="22"/>
        <v>1550.7000000000003</v>
      </c>
      <c r="BG18" s="50">
        <f t="shared" si="22"/>
        <v>1487.7</v>
      </c>
      <c r="BH18" s="50">
        <f t="shared" si="22"/>
        <v>1522.1000000000001</v>
      </c>
      <c r="BI18" s="50">
        <f t="shared" si="22"/>
        <v>1557.4</v>
      </c>
      <c r="BJ18" s="50">
        <f t="shared" si="22"/>
        <v>1655.0000000000005</v>
      </c>
      <c r="BK18" s="50">
        <f t="shared" si="22"/>
        <v>1696.2</v>
      </c>
      <c r="BL18" s="50">
        <f t="shared" si="22"/>
        <v>1755.9</v>
      </c>
      <c r="BM18" s="50">
        <f t="shared" si="22"/>
        <v>1743.7000000000003</v>
      </c>
      <c r="BN18" s="50">
        <f t="shared" si="22"/>
        <v>1928.3000000000002</v>
      </c>
      <c r="BO18" s="50">
        <f t="shared" si="22"/>
        <v>1890.6000000000001</v>
      </c>
      <c r="BP18" s="50">
        <f t="shared" si="22"/>
        <v>2009.9</v>
      </c>
      <c r="BQ18" s="50">
        <f t="shared" si="22"/>
        <v>2038.1</v>
      </c>
      <c r="BR18" s="50">
        <f t="shared" si="22"/>
        <v>2413.5</v>
      </c>
      <c r="BS18" s="50">
        <f t="shared" si="22"/>
        <v>2253.4</v>
      </c>
      <c r="BT18" s="50">
        <f>BT7</f>
        <v>2440</v>
      </c>
      <c r="BU18" s="50">
        <f>BU7</f>
        <v>2504.1999999999998</v>
      </c>
      <c r="BV18" s="34"/>
      <c r="BW18" s="34"/>
      <c r="BX18" s="34"/>
      <c r="BY18" s="34"/>
      <c r="BZ18" s="34"/>
      <c r="CH18" s="50">
        <f t="shared" ref="CH18:CH31" si="23">SUM(AY18:BB18)</f>
        <v>4358.3999999999996</v>
      </c>
      <c r="CI18" s="50">
        <f t="shared" ref="CI18:CI31" si="24">SUM(BC18:BF18)</f>
        <v>5710.1</v>
      </c>
      <c r="CJ18" s="50">
        <f t="shared" ref="CJ18:CJ31" si="25">SUM(BG18:BJ18)</f>
        <v>6222.2000000000007</v>
      </c>
      <c r="CK18" s="50">
        <f t="shared" ref="CK18:CK31" si="26">SUM(BK18:BN18)</f>
        <v>7124.1000000000013</v>
      </c>
      <c r="CL18" s="50">
        <f t="shared" ref="CL18:CL31" si="27">SUM(BO18:BR18)</f>
        <v>8352.1</v>
      </c>
      <c r="CM18" s="75">
        <f>CM7</f>
        <v>10080.714</v>
      </c>
      <c r="CN18" s="75">
        <f t="shared" ref="CN18:CV18" si="28">CN7</f>
        <v>11863.5924</v>
      </c>
      <c r="CO18" s="75">
        <f t="shared" si="28"/>
        <v>13783.6690614</v>
      </c>
      <c r="CP18" s="75">
        <f t="shared" si="28"/>
        <v>15934.75509154061</v>
      </c>
      <c r="CQ18" s="75">
        <f t="shared" si="28"/>
        <v>18321.858790001315</v>
      </c>
      <c r="CR18" s="75">
        <f t="shared" si="28"/>
        <v>20840.607518757282</v>
      </c>
      <c r="CS18" s="75">
        <f t="shared" si="28"/>
        <v>23243.9688158026</v>
      </c>
      <c r="CT18" s="75">
        <f t="shared" si="28"/>
        <v>25692.332209512981</v>
      </c>
      <c r="CU18" s="75">
        <f t="shared" si="28"/>
        <v>27869.330822787291</v>
      </c>
      <c r="CV18" s="75">
        <f t="shared" si="28"/>
        <v>29783.696952646147</v>
      </c>
      <c r="CW18" s="34"/>
      <c r="CX18" s="34"/>
      <c r="CY18" s="34"/>
      <c r="CZ18" s="34"/>
      <c r="DA18" s="34"/>
      <c r="DB18" s="34"/>
      <c r="DC18" s="34"/>
      <c r="DD18" s="34"/>
      <c r="DE18" s="34"/>
      <c r="DF18" s="34"/>
      <c r="DG18" s="34"/>
      <c r="DH18" s="34"/>
      <c r="DI18" s="34"/>
      <c r="DJ18" s="34"/>
      <c r="DK18" s="34"/>
      <c r="DL18" s="34"/>
      <c r="DM18" s="34"/>
      <c r="DN18" s="34"/>
      <c r="DO18" s="34"/>
      <c r="DP18" s="34"/>
      <c r="DQ18" s="34"/>
      <c r="DR18" s="34"/>
      <c r="DS18" s="34"/>
      <c r="DT18" s="34"/>
      <c r="DU18" s="34"/>
      <c r="DV18" s="34"/>
      <c r="DW18" s="34"/>
      <c r="DX18" s="34"/>
      <c r="DY18" s="34"/>
      <c r="DZ18" s="34"/>
      <c r="EA18" s="34"/>
      <c r="EB18" s="34"/>
      <c r="EC18" s="34"/>
      <c r="ED18" s="34"/>
      <c r="EE18" s="34"/>
      <c r="EF18" s="34"/>
      <c r="EG18" s="34"/>
      <c r="EH18" s="34"/>
      <c r="EI18" s="34"/>
      <c r="EJ18" s="34"/>
      <c r="EK18" s="34"/>
      <c r="EL18" s="34"/>
      <c r="EM18" s="34"/>
      <c r="EN18" s="34"/>
      <c r="EO18" s="34"/>
      <c r="EP18" s="34"/>
      <c r="EQ18" s="34"/>
      <c r="ER18" s="34"/>
      <c r="ES18" s="34"/>
      <c r="ET18" s="34"/>
      <c r="EU18" s="34"/>
      <c r="EV18" s="34"/>
    </row>
    <row r="19" spans="2:152">
      <c r="B19" s="1" t="s">
        <v>1484</v>
      </c>
      <c r="AY19" s="47">
        <v>361.3</v>
      </c>
      <c r="AZ19" s="47">
        <v>349.2</v>
      </c>
      <c r="BA19" s="47">
        <v>353.4</v>
      </c>
      <c r="BB19" s="47">
        <f>1497.2-SUM(AY19:BA19)</f>
        <v>433.29999999999995</v>
      </c>
      <c r="BC19" s="47">
        <v>389.5</v>
      </c>
      <c r="BD19" s="47">
        <v>440.3</v>
      </c>
      <c r="BE19" s="47">
        <v>431.9</v>
      </c>
      <c r="BF19" s="47">
        <f>1751.6-SUM(BC19:BE19)</f>
        <v>489.90000000000009</v>
      </c>
      <c r="BG19" s="47">
        <v>478</v>
      </c>
      <c r="BH19" s="47">
        <v>498.8</v>
      </c>
      <c r="BI19" s="47">
        <v>505.3</v>
      </c>
      <c r="BJ19" s="47">
        <f>2026.2-SUM(BG19:BI19)</f>
        <v>544.10000000000014</v>
      </c>
      <c r="BK19" s="47">
        <v>583.20000000000005</v>
      </c>
      <c r="BL19" s="47">
        <v>584</v>
      </c>
      <c r="BM19" s="47">
        <v>576.5</v>
      </c>
      <c r="BN19" s="47">
        <f>2394.6-SUM(BK19:BM19)</f>
        <v>650.89999999999986</v>
      </c>
      <c r="BO19" s="47">
        <v>645.20000000000005</v>
      </c>
      <c r="BP19" s="47">
        <v>637.20000000000005</v>
      </c>
      <c r="BQ19" s="47">
        <v>664.2</v>
      </c>
      <c r="BR19" s="47">
        <f>2717.9-SUM(BO19:BQ19)</f>
        <v>771.3</v>
      </c>
      <c r="BS19" s="47">
        <v>795.7</v>
      </c>
      <c r="BT19" s="47">
        <v>822.1</v>
      </c>
      <c r="BU19" s="47">
        <v>842.7</v>
      </c>
      <c r="CH19" s="47">
        <f t="shared" si="23"/>
        <v>1497.2</v>
      </c>
      <c r="CI19" s="47">
        <f t="shared" si="24"/>
        <v>1751.6</v>
      </c>
      <c r="CJ19" s="47">
        <f t="shared" si="25"/>
        <v>2026.2</v>
      </c>
      <c r="CK19" s="47">
        <f t="shared" si="26"/>
        <v>2394.6</v>
      </c>
      <c r="CL19" s="47">
        <f t="shared" si="27"/>
        <v>2717.9</v>
      </c>
      <c r="CM19" s="74">
        <f>CM18*(1-CM33)</f>
        <v>3301.4338350000003</v>
      </c>
      <c r="CN19" s="74">
        <f t="shared" ref="CN19:CV19" si="29">CN18*(1-CN33)</f>
        <v>3855.6675299999993</v>
      </c>
      <c r="CO19" s="74">
        <f t="shared" si="29"/>
        <v>4445.2332723014997</v>
      </c>
      <c r="CP19" s="74">
        <f t="shared" si="29"/>
        <v>5099.1216292929948</v>
      </c>
      <c r="CQ19" s="74">
        <f t="shared" si="29"/>
        <v>5771.3855188504131</v>
      </c>
      <c r="CR19" s="74">
        <f t="shared" si="29"/>
        <v>6460.5883308147586</v>
      </c>
      <c r="CS19" s="74">
        <f t="shared" si="29"/>
        <v>7089.4104888197944</v>
      </c>
      <c r="CT19" s="74">
        <f t="shared" si="29"/>
        <v>7707.6996628538955</v>
      </c>
      <c r="CU19" s="74">
        <f t="shared" si="29"/>
        <v>8082.1059386083152</v>
      </c>
      <c r="CV19" s="74">
        <f t="shared" si="29"/>
        <v>8637.2721162673843</v>
      </c>
    </row>
    <row r="20" spans="2:152">
      <c r="B20" s="1" t="s">
        <v>125</v>
      </c>
      <c r="AY20" s="47">
        <f t="shared" ref="AY20:BT20" si="30">AY18-AY19</f>
        <v>738.2</v>
      </c>
      <c r="AZ20" s="47">
        <f t="shared" si="30"/>
        <v>502.89999999999992</v>
      </c>
      <c r="BA20" s="47">
        <f t="shared" si="30"/>
        <v>724.30000000000007</v>
      </c>
      <c r="BB20" s="47">
        <f t="shared" si="30"/>
        <v>895.8</v>
      </c>
      <c r="BC20" s="47">
        <f t="shared" si="30"/>
        <v>902.59999999999991</v>
      </c>
      <c r="BD20" s="47">
        <f t="shared" si="30"/>
        <v>1023.7</v>
      </c>
      <c r="BE20" s="47">
        <f t="shared" si="30"/>
        <v>971.4</v>
      </c>
      <c r="BF20" s="47">
        <f t="shared" si="30"/>
        <v>1060.8000000000002</v>
      </c>
      <c r="BG20" s="47">
        <f t="shared" si="30"/>
        <v>1009.7</v>
      </c>
      <c r="BH20" s="47">
        <f t="shared" si="30"/>
        <v>1023.3000000000002</v>
      </c>
      <c r="BI20" s="47">
        <f t="shared" si="30"/>
        <v>1052.1000000000001</v>
      </c>
      <c r="BJ20" s="47">
        <f t="shared" si="30"/>
        <v>1110.9000000000003</v>
      </c>
      <c r="BK20" s="47">
        <f t="shared" si="30"/>
        <v>1113</v>
      </c>
      <c r="BL20" s="47">
        <f t="shared" si="30"/>
        <v>1171.9000000000001</v>
      </c>
      <c r="BM20" s="47">
        <f t="shared" si="30"/>
        <v>1167.2000000000003</v>
      </c>
      <c r="BN20" s="47">
        <f t="shared" si="30"/>
        <v>1277.4000000000003</v>
      </c>
      <c r="BO20" s="47">
        <f t="shared" si="30"/>
        <v>1245.4000000000001</v>
      </c>
      <c r="BP20" s="47">
        <f t="shared" si="30"/>
        <v>1372.7</v>
      </c>
      <c r="BQ20" s="47">
        <f t="shared" si="30"/>
        <v>1373.8999999999999</v>
      </c>
      <c r="BR20" s="47">
        <f t="shared" si="30"/>
        <v>1642.2</v>
      </c>
      <c r="BS20" s="47">
        <f t="shared" si="30"/>
        <v>1457.7</v>
      </c>
      <c r="BT20" s="47">
        <f t="shared" si="30"/>
        <v>1617.9</v>
      </c>
      <c r="BU20" s="47">
        <f t="shared" ref="BU20" si="31">BU18-BU19</f>
        <v>1661.4999999999998</v>
      </c>
      <c r="CH20" s="47">
        <f t="shared" si="23"/>
        <v>2861.2</v>
      </c>
      <c r="CI20" s="47">
        <f t="shared" si="24"/>
        <v>3958.5</v>
      </c>
      <c r="CJ20" s="47">
        <f t="shared" si="25"/>
        <v>4196.0000000000009</v>
      </c>
      <c r="CK20" s="47">
        <f t="shared" si="26"/>
        <v>4729.5000000000009</v>
      </c>
      <c r="CL20" s="47">
        <f t="shared" si="27"/>
        <v>5634.2</v>
      </c>
      <c r="CM20" s="74">
        <f>CM18*CM33</f>
        <v>6779.2801650000001</v>
      </c>
      <c r="CN20" s="74">
        <f t="shared" ref="CN20:CV20" si="32">CN18*CN33</f>
        <v>8007.9248699999998</v>
      </c>
      <c r="CO20" s="74">
        <f t="shared" si="32"/>
        <v>9338.4357890984993</v>
      </c>
      <c r="CP20" s="74">
        <f t="shared" si="32"/>
        <v>10835.633462247615</v>
      </c>
      <c r="CQ20" s="74">
        <f t="shared" si="32"/>
        <v>12550.473271150902</v>
      </c>
      <c r="CR20" s="74">
        <f t="shared" si="32"/>
        <v>14380.019187942524</v>
      </c>
      <c r="CS20" s="74">
        <f t="shared" si="32"/>
        <v>16154.558326982806</v>
      </c>
      <c r="CT20" s="74">
        <f t="shared" si="32"/>
        <v>17984.632546659086</v>
      </c>
      <c r="CU20" s="74">
        <f t="shared" si="32"/>
        <v>19787.224884178977</v>
      </c>
      <c r="CV20" s="74">
        <f t="shared" si="32"/>
        <v>21146.424836378763</v>
      </c>
    </row>
    <row r="21" spans="2:152">
      <c r="B21" s="1" t="s">
        <v>1460</v>
      </c>
      <c r="AY21" s="47">
        <v>308.10000000000002</v>
      </c>
      <c r="AZ21" s="47">
        <v>279.10000000000002</v>
      </c>
      <c r="BA21" s="47">
        <v>298.89999999999998</v>
      </c>
      <c r="BB21" s="47">
        <f>1216.3-SUM(AY21:BA21)</f>
        <v>330.19999999999993</v>
      </c>
      <c r="BC21" s="47">
        <v>326</v>
      </c>
      <c r="BD21" s="47">
        <v>350.2</v>
      </c>
      <c r="BE21" s="47">
        <v>363.3</v>
      </c>
      <c r="BF21" s="47">
        <f>1466.5-SUM(BC21:BE21)</f>
        <v>427</v>
      </c>
      <c r="BG21" s="47">
        <v>391.1</v>
      </c>
      <c r="BH21" s="47">
        <v>418.4</v>
      </c>
      <c r="BI21" s="47">
        <v>436.1</v>
      </c>
      <c r="BJ21" s="47">
        <f>1739.9-SUM(BG21:BI21)</f>
        <v>494.30000000000018</v>
      </c>
      <c r="BK21" s="47">
        <v>480.5</v>
      </c>
      <c r="BL21" s="47">
        <v>464.3</v>
      </c>
      <c r="BM21" s="47">
        <v>452</v>
      </c>
      <c r="BN21" s="47">
        <f>1963.9-SUM(BK21:BM21)</f>
        <v>567.10000000000014</v>
      </c>
      <c r="BO21" s="47">
        <v>491.5</v>
      </c>
      <c r="BP21" s="47">
        <v>525.29999999999995</v>
      </c>
      <c r="BQ21" s="47">
        <v>510.6</v>
      </c>
      <c r="BR21" s="47">
        <f>2140-SUM(BO21:BQ21)</f>
        <v>612.59999999999991</v>
      </c>
      <c r="BS21" s="47">
        <v>563.4</v>
      </c>
      <c r="BT21" s="47">
        <v>561.20000000000005</v>
      </c>
      <c r="BU21" s="47">
        <v>573.29999999999995</v>
      </c>
      <c r="CH21" s="47">
        <f t="shared" si="23"/>
        <v>1216.3</v>
      </c>
      <c r="CI21" s="47">
        <f t="shared" si="24"/>
        <v>1466.5</v>
      </c>
      <c r="CJ21" s="47">
        <f t="shared" si="25"/>
        <v>1739.9</v>
      </c>
      <c r="CK21" s="47">
        <f t="shared" si="26"/>
        <v>1963.9</v>
      </c>
      <c r="CL21" s="47">
        <f t="shared" si="27"/>
        <v>2140</v>
      </c>
      <c r="CM21" s="74">
        <f>CM18*CM34</f>
        <v>2318.5642200000002</v>
      </c>
      <c r="CN21" s="74">
        <f t="shared" ref="CN21:CV21" si="33">CN18*CN34</f>
        <v>2681.1718824</v>
      </c>
      <c r="CO21" s="74">
        <f t="shared" si="33"/>
        <v>3059.9745316307999</v>
      </c>
      <c r="CP21" s="74">
        <f t="shared" si="33"/>
        <v>3505.6461201389343</v>
      </c>
      <c r="CQ21" s="74">
        <f t="shared" si="33"/>
        <v>3994.1652162202868</v>
      </c>
      <c r="CR21" s="74">
        <f t="shared" si="33"/>
        <v>4501.5712240515732</v>
      </c>
      <c r="CS21" s="74">
        <f t="shared" si="33"/>
        <v>4974.2093265817566</v>
      </c>
      <c r="CT21" s="74">
        <f t="shared" si="33"/>
        <v>5446.774428416752</v>
      </c>
      <c r="CU21" s="74">
        <f t="shared" si="33"/>
        <v>5852.5594727853313</v>
      </c>
      <c r="CV21" s="74">
        <f t="shared" si="33"/>
        <v>6254.5763600556911</v>
      </c>
    </row>
    <row r="22" spans="2:152">
      <c r="B22" s="1" t="s">
        <v>1461</v>
      </c>
      <c r="AY22" s="47">
        <v>147.1</v>
      </c>
      <c r="AZ22" s="47">
        <v>143.19999999999999</v>
      </c>
      <c r="BA22" s="47">
        <v>155</v>
      </c>
      <c r="BB22" s="47">
        <f>595.1-SUM(AY22:BA22)</f>
        <v>149.80000000000007</v>
      </c>
      <c r="BC22" s="47">
        <v>159.80000000000001</v>
      </c>
      <c r="BD22" s="47">
        <v>162.30000000000001</v>
      </c>
      <c r="BE22" s="47">
        <v>165.5</v>
      </c>
      <c r="BF22" s="47">
        <f>671-SUM(BC22:BE22)</f>
        <v>183.39999999999998</v>
      </c>
      <c r="BG22" s="47">
        <v>210.5</v>
      </c>
      <c r="BH22" s="47">
        <v>207.3</v>
      </c>
      <c r="BI22" s="47">
        <v>217.1</v>
      </c>
      <c r="BJ22" s="47">
        <f>879-SUM(BG22:BI22)</f>
        <v>244.10000000000002</v>
      </c>
      <c r="BK22" s="47">
        <v>244.9</v>
      </c>
      <c r="BL22" s="47">
        <v>244.4</v>
      </c>
      <c r="BM22" s="47">
        <v>249.4</v>
      </c>
      <c r="BN22" s="47">
        <f>998.8-SUM(BK22:BM22)</f>
        <v>260.09999999999991</v>
      </c>
      <c r="BO22" s="47">
        <v>284.5</v>
      </c>
      <c r="BP22" s="47">
        <v>280.10000000000002</v>
      </c>
      <c r="BQ22" s="47">
        <v>286</v>
      </c>
      <c r="BR22" s="47">
        <f>1145.3-SUM(BO22:BQ22)</f>
        <v>294.69999999999993</v>
      </c>
      <c r="BS22" s="47">
        <v>316.2</v>
      </c>
      <c r="BT22" s="47">
        <v>313.3</v>
      </c>
      <c r="BU22" s="47">
        <v>329.1</v>
      </c>
      <c r="CH22" s="47">
        <f t="shared" si="23"/>
        <v>595.1</v>
      </c>
      <c r="CI22" s="47">
        <f t="shared" si="24"/>
        <v>671</v>
      </c>
      <c r="CJ22" s="47">
        <f t="shared" si="25"/>
        <v>879</v>
      </c>
      <c r="CK22" s="47">
        <f t="shared" si="26"/>
        <v>998.8</v>
      </c>
      <c r="CL22" s="47">
        <f t="shared" si="27"/>
        <v>1145.3</v>
      </c>
      <c r="CM22" s="74">
        <f>CM18*CM35</f>
        <v>1310.4928199999999</v>
      </c>
      <c r="CN22" s="74">
        <f t="shared" ref="CN22:CV22" si="34">CN18*CN35</f>
        <v>1571.9259930000001</v>
      </c>
      <c r="CO22" s="74">
        <f t="shared" si="34"/>
        <v>1791.876977982</v>
      </c>
      <c r="CP22" s="74">
        <f t="shared" si="34"/>
        <v>2055.5834068087388</v>
      </c>
      <c r="CQ22" s="74">
        <f t="shared" si="34"/>
        <v>2345.1979251201683</v>
      </c>
      <c r="CR22" s="74">
        <f t="shared" si="34"/>
        <v>2646.7571548821747</v>
      </c>
      <c r="CS22" s="74">
        <f t="shared" si="34"/>
        <v>2928.7400707911274</v>
      </c>
      <c r="CT22" s="74">
        <f t="shared" si="34"/>
        <v>3211.5415261891226</v>
      </c>
      <c r="CU22" s="74">
        <f t="shared" si="34"/>
        <v>3483.6663528484114</v>
      </c>
      <c r="CV22" s="74">
        <f t="shared" si="34"/>
        <v>3722.9621190807684</v>
      </c>
    </row>
    <row r="23" spans="2:152">
      <c r="B23" s="1" t="s">
        <v>1462</v>
      </c>
      <c r="AY23" s="47">
        <f t="shared" ref="AY23:BT23" si="35">AY20-SUM(AY21:AY22)</f>
        <v>283</v>
      </c>
      <c r="AZ23" s="47">
        <f t="shared" si="35"/>
        <v>80.599999999999909</v>
      </c>
      <c r="BA23" s="47">
        <f t="shared" si="35"/>
        <v>270.40000000000009</v>
      </c>
      <c r="BB23" s="47">
        <f t="shared" si="35"/>
        <v>415.79999999999995</v>
      </c>
      <c r="BC23" s="47">
        <f t="shared" si="35"/>
        <v>416.7999999999999</v>
      </c>
      <c r="BD23" s="47">
        <f t="shared" si="35"/>
        <v>511.20000000000005</v>
      </c>
      <c r="BE23" s="47">
        <f t="shared" si="35"/>
        <v>442.6</v>
      </c>
      <c r="BF23" s="47">
        <f t="shared" si="35"/>
        <v>450.4000000000002</v>
      </c>
      <c r="BG23" s="47">
        <f t="shared" si="35"/>
        <v>408.1</v>
      </c>
      <c r="BH23" s="47">
        <f t="shared" si="35"/>
        <v>397.60000000000014</v>
      </c>
      <c r="BI23" s="47">
        <f t="shared" si="35"/>
        <v>398.90000000000009</v>
      </c>
      <c r="BJ23" s="47">
        <f t="shared" si="35"/>
        <v>372.50000000000011</v>
      </c>
      <c r="BK23" s="47">
        <f t="shared" si="35"/>
        <v>387.6</v>
      </c>
      <c r="BL23" s="47">
        <f t="shared" si="35"/>
        <v>463.20000000000005</v>
      </c>
      <c r="BM23" s="47">
        <f t="shared" si="35"/>
        <v>465.8000000000003</v>
      </c>
      <c r="BN23" s="47">
        <f t="shared" si="35"/>
        <v>450.20000000000027</v>
      </c>
      <c r="BO23" s="47">
        <f t="shared" si="35"/>
        <v>469.40000000000009</v>
      </c>
      <c r="BP23" s="47">
        <f t="shared" si="35"/>
        <v>567.30000000000007</v>
      </c>
      <c r="BQ23" s="47">
        <f t="shared" si="35"/>
        <v>577.29999999999984</v>
      </c>
      <c r="BR23" s="47">
        <f t="shared" si="35"/>
        <v>734.9000000000002</v>
      </c>
      <c r="BS23" s="47">
        <f t="shared" si="35"/>
        <v>578.10000000000014</v>
      </c>
      <c r="BT23" s="47">
        <f t="shared" si="35"/>
        <v>743.40000000000009</v>
      </c>
      <c r="BU23" s="47">
        <f t="shared" ref="BU23" si="36">BU20-SUM(BU21:BU22)</f>
        <v>759.0999999999998</v>
      </c>
      <c r="CH23" s="47">
        <f t="shared" si="23"/>
        <v>1049.8</v>
      </c>
      <c r="CI23" s="47">
        <f t="shared" si="24"/>
        <v>1821</v>
      </c>
      <c r="CJ23" s="47">
        <f t="shared" si="25"/>
        <v>1577.1000000000004</v>
      </c>
      <c r="CK23" s="47">
        <f t="shared" si="26"/>
        <v>1766.8000000000006</v>
      </c>
      <c r="CL23" s="47">
        <f t="shared" si="27"/>
        <v>2348.9</v>
      </c>
      <c r="CM23" s="74">
        <f>CM20-SUM(CM21:CM22)</f>
        <v>3150.223125</v>
      </c>
      <c r="CN23" s="74">
        <f t="shared" ref="CN23:CV23" si="37">CN20-SUM(CN21:CN22)</f>
        <v>3754.8269946</v>
      </c>
      <c r="CO23" s="74">
        <f t="shared" si="37"/>
        <v>4486.5842794856999</v>
      </c>
      <c r="CP23" s="74">
        <f t="shared" si="37"/>
        <v>5274.4039352999425</v>
      </c>
      <c r="CQ23" s="74">
        <f t="shared" si="37"/>
        <v>6211.1101298104477</v>
      </c>
      <c r="CR23" s="74">
        <f t="shared" si="37"/>
        <v>7231.6908090087763</v>
      </c>
      <c r="CS23" s="74">
        <f t="shared" si="37"/>
        <v>8251.6089296099217</v>
      </c>
      <c r="CT23" s="74">
        <f t="shared" si="37"/>
        <v>9326.3165920532119</v>
      </c>
      <c r="CU23" s="74">
        <f t="shared" si="37"/>
        <v>10450.999058545234</v>
      </c>
      <c r="CV23" s="74">
        <f t="shared" si="37"/>
        <v>11168.886357242303</v>
      </c>
    </row>
    <row r="24" spans="2:152">
      <c r="B24" s="1" t="s">
        <v>1463</v>
      </c>
      <c r="AY24" s="47">
        <v>25</v>
      </c>
      <c r="AZ24" s="47">
        <v>26.6</v>
      </c>
      <c r="BA24" s="47">
        <v>84.8</v>
      </c>
      <c r="BB24" s="47">
        <f>157.2-SUM(AY24:BA24)</f>
        <v>20.799999999999983</v>
      </c>
      <c r="BC24" s="47">
        <v>32</v>
      </c>
      <c r="BD24" s="47">
        <v>15</v>
      </c>
      <c r="BE24" s="47">
        <v>18.5</v>
      </c>
      <c r="BF24" s="47">
        <f>69.3-SUM(BC24:BE24)</f>
        <v>3.7999999999999972</v>
      </c>
      <c r="BG24" s="47">
        <v>-5.7</v>
      </c>
      <c r="BH24" s="47">
        <v>9.3000000000000007</v>
      </c>
      <c r="BI24" s="47">
        <v>3.9</v>
      </c>
      <c r="BJ24" s="47">
        <f>29.7-SUM(BG24:BI24)</f>
        <v>22.2</v>
      </c>
      <c r="BK24" s="47">
        <v>34.200000000000003</v>
      </c>
      <c r="BL24" s="47">
        <v>36</v>
      </c>
      <c r="BM24" s="47">
        <v>56.2</v>
      </c>
      <c r="BN24" s="47">
        <f>192.1-SUM(BK24:BM24)</f>
        <v>65.699999999999989</v>
      </c>
      <c r="BO24" s="47">
        <v>69.099999999999994</v>
      </c>
      <c r="BP24" s="47">
        <v>87.2</v>
      </c>
      <c r="BQ24" s="47">
        <v>93.7</v>
      </c>
      <c r="BR24" s="47">
        <f>324.9-SUM(BO24:BQ24)</f>
        <v>74.899999999999977</v>
      </c>
      <c r="BS24" s="47">
        <v>90.4</v>
      </c>
      <c r="BT24" s="47">
        <v>88.7</v>
      </c>
      <c r="BU24" s="47">
        <v>95.5</v>
      </c>
      <c r="CH24" s="47">
        <f t="shared" si="23"/>
        <v>157.19999999999999</v>
      </c>
      <c r="CI24" s="47">
        <f t="shared" si="24"/>
        <v>69.3</v>
      </c>
      <c r="CJ24" s="47">
        <f t="shared" si="25"/>
        <v>29.7</v>
      </c>
      <c r="CK24" s="47">
        <f t="shared" si="26"/>
        <v>192.1</v>
      </c>
      <c r="CL24" s="47">
        <f t="shared" si="27"/>
        <v>324.89999999999998</v>
      </c>
      <c r="CM24" s="74">
        <f>CL40*$CV$42</f>
        <v>466.30200000000002</v>
      </c>
      <c r="CN24" s="74">
        <f t="shared" ref="CN24:CV24" si="38">CM40*$CV$42</f>
        <v>1198.2866853</v>
      </c>
      <c r="CO24" s="74">
        <f t="shared" si="38"/>
        <v>2155.2282482566798</v>
      </c>
      <c r="CP24" s="74">
        <f t="shared" si="38"/>
        <v>3438.4264286165076</v>
      </c>
      <c r="CQ24" s="74">
        <f t="shared" si="38"/>
        <v>5121.7452549251648</v>
      </c>
      <c r="CR24" s="74">
        <f t="shared" si="38"/>
        <v>7311.2529152560855</v>
      </c>
      <c r="CS24" s="74">
        <f t="shared" si="38"/>
        <v>10120.949642784057</v>
      </c>
      <c r="CT24" s="74">
        <f t="shared" si="38"/>
        <v>13670.527958970573</v>
      </c>
      <c r="CU24" s="74">
        <f t="shared" si="38"/>
        <v>18113.518326228368</v>
      </c>
      <c r="CV24" s="74">
        <f t="shared" si="38"/>
        <v>23632.183084966629</v>
      </c>
    </row>
    <row r="25" spans="2:152">
      <c r="B25" s="1" t="s">
        <v>1464</v>
      </c>
      <c r="AY25" s="47">
        <f t="shared" ref="AY25:BT25" si="39">AY23+AY24</f>
        <v>308</v>
      </c>
      <c r="AZ25" s="47">
        <f t="shared" si="39"/>
        <v>107.1999999999999</v>
      </c>
      <c r="BA25" s="47">
        <f t="shared" si="39"/>
        <v>355.2000000000001</v>
      </c>
      <c r="BB25" s="47">
        <f t="shared" si="39"/>
        <v>436.59999999999991</v>
      </c>
      <c r="BC25" s="47">
        <f t="shared" si="39"/>
        <v>448.7999999999999</v>
      </c>
      <c r="BD25" s="47">
        <f t="shared" si="39"/>
        <v>526.20000000000005</v>
      </c>
      <c r="BE25" s="47">
        <f t="shared" si="39"/>
        <v>461.1</v>
      </c>
      <c r="BF25" s="47">
        <f t="shared" si="39"/>
        <v>454.20000000000022</v>
      </c>
      <c r="BG25" s="47">
        <f t="shared" si="39"/>
        <v>402.40000000000003</v>
      </c>
      <c r="BH25" s="47">
        <f t="shared" si="39"/>
        <v>406.90000000000015</v>
      </c>
      <c r="BI25" s="47">
        <f t="shared" si="39"/>
        <v>402.80000000000007</v>
      </c>
      <c r="BJ25" s="47">
        <f t="shared" si="39"/>
        <v>394.7000000000001</v>
      </c>
      <c r="BK25" s="47">
        <f t="shared" si="39"/>
        <v>421.8</v>
      </c>
      <c r="BL25" s="47">
        <f t="shared" si="39"/>
        <v>499.20000000000005</v>
      </c>
      <c r="BM25" s="47">
        <f t="shared" si="39"/>
        <v>522.00000000000034</v>
      </c>
      <c r="BN25" s="47">
        <f t="shared" si="39"/>
        <v>515.90000000000032</v>
      </c>
      <c r="BO25" s="47">
        <f t="shared" si="39"/>
        <v>538.50000000000011</v>
      </c>
      <c r="BP25" s="47">
        <f t="shared" si="39"/>
        <v>654.50000000000011</v>
      </c>
      <c r="BQ25" s="47">
        <f t="shared" si="39"/>
        <v>670.99999999999989</v>
      </c>
      <c r="BR25" s="47">
        <f t="shared" si="39"/>
        <v>809.80000000000018</v>
      </c>
      <c r="BS25" s="47">
        <f t="shared" si="39"/>
        <v>668.50000000000011</v>
      </c>
      <c r="BT25" s="47">
        <f t="shared" si="39"/>
        <v>832.10000000000014</v>
      </c>
      <c r="BU25" s="47">
        <f t="shared" ref="BU25" si="40">BU23+BU24</f>
        <v>854.5999999999998</v>
      </c>
      <c r="CH25" s="47">
        <f t="shared" si="23"/>
        <v>1207</v>
      </c>
      <c r="CI25" s="47">
        <f t="shared" si="24"/>
        <v>1890.3000000000002</v>
      </c>
      <c r="CJ25" s="47">
        <f t="shared" si="25"/>
        <v>1606.8000000000004</v>
      </c>
      <c r="CK25" s="47">
        <f t="shared" si="26"/>
        <v>1958.9000000000008</v>
      </c>
      <c r="CL25" s="47">
        <f t="shared" si="27"/>
        <v>2673.8</v>
      </c>
      <c r="CM25" s="74">
        <f>CM23+CM24</f>
        <v>3616.5251250000001</v>
      </c>
      <c r="CN25" s="74">
        <f t="shared" ref="CN25:CV25" si="41">CN23+CN24</f>
        <v>4953.1136798999996</v>
      </c>
      <c r="CO25" s="74">
        <f t="shared" si="41"/>
        <v>6641.8125277423796</v>
      </c>
      <c r="CP25" s="74">
        <f t="shared" si="41"/>
        <v>8712.8303639164496</v>
      </c>
      <c r="CQ25" s="74">
        <f t="shared" si="41"/>
        <v>11332.855384735612</v>
      </c>
      <c r="CR25" s="74">
        <f t="shared" si="41"/>
        <v>14542.943724264862</v>
      </c>
      <c r="CS25" s="74">
        <f t="shared" si="41"/>
        <v>18372.55857239398</v>
      </c>
      <c r="CT25" s="74">
        <f t="shared" si="41"/>
        <v>22996.844551023787</v>
      </c>
      <c r="CU25" s="74">
        <f t="shared" si="41"/>
        <v>28564.5173847736</v>
      </c>
      <c r="CV25" s="74">
        <f t="shared" si="41"/>
        <v>34801.069442208929</v>
      </c>
    </row>
    <row r="26" spans="2:152">
      <c r="B26" s="1" t="s">
        <v>1465</v>
      </c>
      <c r="AY26" s="47">
        <v>-8</v>
      </c>
      <c r="AZ26" s="47">
        <v>37</v>
      </c>
      <c r="BA26" s="47">
        <v>38.4</v>
      </c>
      <c r="BB26" s="47">
        <f>140.2-SUM(AY26:BA26)</f>
        <v>72.799999999999983</v>
      </c>
      <c r="BC26" s="47">
        <v>13.6</v>
      </c>
      <c r="BD26" s="47">
        <v>3.2</v>
      </c>
      <c r="BE26" s="47">
        <v>73.900000000000006</v>
      </c>
      <c r="BF26" s="47">
        <f>162.2-SUM(BC26:BE26)</f>
        <v>71.499999999999986</v>
      </c>
      <c r="BG26" s="47">
        <v>33</v>
      </c>
      <c r="BH26" s="47">
        <v>93.3</v>
      </c>
      <c r="BI26" s="47">
        <v>78.099999999999994</v>
      </c>
      <c r="BJ26" s="47">
        <f>262.4-SUM(BG26:BI26)</f>
        <v>58</v>
      </c>
      <c r="BK26" s="47">
        <v>61</v>
      </c>
      <c r="BL26" s="47">
        <v>73.2</v>
      </c>
      <c r="BM26" s="47">
        <v>102.2</v>
      </c>
      <c r="BN26" s="47">
        <f>141.6-SUM(BK26:BM26)</f>
        <v>-94.799999999999983</v>
      </c>
      <c r="BO26" s="47">
        <v>-8.9</v>
      </c>
      <c r="BP26" s="47">
        <v>123</v>
      </c>
      <c r="BQ26" s="47">
        <v>100.4</v>
      </c>
      <c r="BR26" s="47">
        <f>336.3-SUM(BO26:BQ26)</f>
        <v>121.80000000000001</v>
      </c>
      <c r="BS26" s="47">
        <v>-35.200000000000003</v>
      </c>
      <c r="BT26" s="47">
        <v>167.9</v>
      </c>
      <c r="BU26" s="47">
        <v>146</v>
      </c>
      <c r="CH26" s="47">
        <f t="shared" si="23"/>
        <v>140.19999999999999</v>
      </c>
      <c r="CI26" s="47">
        <f t="shared" si="24"/>
        <v>162.19999999999999</v>
      </c>
      <c r="CJ26" s="47">
        <f t="shared" si="25"/>
        <v>262.39999999999998</v>
      </c>
      <c r="CK26" s="47">
        <f t="shared" si="26"/>
        <v>141.6</v>
      </c>
      <c r="CL26" s="47">
        <f t="shared" si="27"/>
        <v>336.3</v>
      </c>
      <c r="CM26" s="74">
        <f>CM25*CM37</f>
        <v>433.98301500000002</v>
      </c>
      <c r="CN26" s="74">
        <f t="shared" ref="CN26:CV26" si="42">CN25*CN37</f>
        <v>792.49818878399992</v>
      </c>
      <c r="CO26" s="74">
        <f t="shared" si="42"/>
        <v>1062.6900044387808</v>
      </c>
      <c r="CP26" s="74">
        <f t="shared" si="42"/>
        <v>1394.052858226632</v>
      </c>
      <c r="CQ26" s="74">
        <f t="shared" si="42"/>
        <v>1813.2568615576981</v>
      </c>
      <c r="CR26" s="74">
        <f t="shared" si="42"/>
        <v>2326.8709958823779</v>
      </c>
      <c r="CS26" s="74">
        <f t="shared" si="42"/>
        <v>2939.609371583037</v>
      </c>
      <c r="CT26" s="74">
        <f t="shared" si="42"/>
        <v>3679.4951281638059</v>
      </c>
      <c r="CU26" s="74">
        <f t="shared" si="42"/>
        <v>4570.3227815637765</v>
      </c>
      <c r="CV26" s="74">
        <f t="shared" si="42"/>
        <v>5568.1711107534284</v>
      </c>
    </row>
    <row r="27" spans="2:152" s="2" customFormat="1" ht="15">
      <c r="B27" s="2" t="s">
        <v>141</v>
      </c>
      <c r="AY27" s="50">
        <f t="shared" ref="AY27:BT27" si="43">AY25-AY26</f>
        <v>316</v>
      </c>
      <c r="AZ27" s="50">
        <f t="shared" si="43"/>
        <v>70.199999999999903</v>
      </c>
      <c r="BA27" s="50">
        <f t="shared" si="43"/>
        <v>316.80000000000013</v>
      </c>
      <c r="BB27" s="50">
        <f t="shared" si="43"/>
        <v>363.79999999999995</v>
      </c>
      <c r="BC27" s="50">
        <f t="shared" si="43"/>
        <v>435.19999999999987</v>
      </c>
      <c r="BD27" s="50">
        <f t="shared" si="43"/>
        <v>523</v>
      </c>
      <c r="BE27" s="50">
        <f t="shared" si="43"/>
        <v>387.20000000000005</v>
      </c>
      <c r="BF27" s="50">
        <f t="shared" si="43"/>
        <v>382.70000000000022</v>
      </c>
      <c r="BG27" s="50">
        <f t="shared" si="43"/>
        <v>369.40000000000003</v>
      </c>
      <c r="BH27" s="50">
        <f t="shared" si="43"/>
        <v>313.60000000000014</v>
      </c>
      <c r="BI27" s="50">
        <f t="shared" si="43"/>
        <v>324.70000000000005</v>
      </c>
      <c r="BJ27" s="50">
        <f t="shared" si="43"/>
        <v>336.7000000000001</v>
      </c>
      <c r="BK27" s="50">
        <f t="shared" si="43"/>
        <v>360.8</v>
      </c>
      <c r="BL27" s="50">
        <f t="shared" si="43"/>
        <v>426.00000000000006</v>
      </c>
      <c r="BM27" s="50">
        <f t="shared" si="43"/>
        <v>419.80000000000035</v>
      </c>
      <c r="BN27" s="50">
        <f t="shared" si="43"/>
        <v>610.70000000000027</v>
      </c>
      <c r="BO27" s="50">
        <f t="shared" si="43"/>
        <v>547.40000000000009</v>
      </c>
      <c r="BP27" s="50">
        <f t="shared" si="43"/>
        <v>531.50000000000011</v>
      </c>
      <c r="BQ27" s="50">
        <f t="shared" si="43"/>
        <v>570.59999999999991</v>
      </c>
      <c r="BR27" s="50">
        <f t="shared" si="43"/>
        <v>688.00000000000023</v>
      </c>
      <c r="BS27" s="50">
        <f t="shared" si="43"/>
        <v>703.70000000000016</v>
      </c>
      <c r="BT27" s="50">
        <f t="shared" si="43"/>
        <v>664.20000000000016</v>
      </c>
      <c r="BU27" s="50">
        <f t="shared" ref="BU27" si="44">BU25-BU26</f>
        <v>708.5999999999998</v>
      </c>
      <c r="BV27" s="34"/>
      <c r="BW27" s="34"/>
      <c r="BX27" s="34"/>
      <c r="BY27" s="34"/>
      <c r="BZ27" s="34"/>
      <c r="CH27" s="50">
        <f t="shared" si="23"/>
        <v>1066.8</v>
      </c>
      <c r="CI27" s="50">
        <f t="shared" si="24"/>
        <v>1728.1000000000001</v>
      </c>
      <c r="CJ27" s="50">
        <f t="shared" si="25"/>
        <v>1344.4000000000003</v>
      </c>
      <c r="CK27" s="50">
        <f t="shared" si="26"/>
        <v>1817.3000000000006</v>
      </c>
      <c r="CL27" s="50">
        <f t="shared" si="27"/>
        <v>2337.5</v>
      </c>
      <c r="CM27" s="75">
        <f>CM25-CM26</f>
        <v>3182.5421100000003</v>
      </c>
      <c r="CN27" s="75">
        <f t="shared" ref="CN27:CV27" si="45">CN25-CN26</f>
        <v>4160.6154911159992</v>
      </c>
      <c r="CO27" s="75">
        <f t="shared" si="45"/>
        <v>5579.1225233035984</v>
      </c>
      <c r="CP27" s="75">
        <f t="shared" si="45"/>
        <v>7318.7775056898172</v>
      </c>
      <c r="CQ27" s="75">
        <f t="shared" si="45"/>
        <v>9519.5985231779141</v>
      </c>
      <c r="CR27" s="75">
        <f t="shared" si="45"/>
        <v>12216.072728382484</v>
      </c>
      <c r="CS27" s="75">
        <f t="shared" si="45"/>
        <v>15432.949200810943</v>
      </c>
      <c r="CT27" s="75">
        <f t="shared" si="45"/>
        <v>19317.349422859981</v>
      </c>
      <c r="CU27" s="75">
        <f t="shared" si="45"/>
        <v>23994.194603209824</v>
      </c>
      <c r="CV27" s="75">
        <f t="shared" si="45"/>
        <v>29232.898331455501</v>
      </c>
      <c r="CW27" s="75">
        <f>CV27*(1+$CV$43)</f>
        <v>29963.720789741885</v>
      </c>
      <c r="CX27" s="75">
        <f t="shared" ref="CX27:ET27" si="46">CW27*(1+$CV$43)</f>
        <v>30712.813809485429</v>
      </c>
      <c r="CY27" s="75">
        <f t="shared" si="46"/>
        <v>31480.634154722564</v>
      </c>
      <c r="CZ27" s="75">
        <f t="shared" si="46"/>
        <v>32267.650008590626</v>
      </c>
      <c r="DA27" s="75">
        <f t="shared" si="46"/>
        <v>33074.341258805391</v>
      </c>
      <c r="DB27" s="75">
        <f t="shared" si="46"/>
        <v>33901.199790275525</v>
      </c>
      <c r="DC27" s="75">
        <f t="shared" si="46"/>
        <v>34748.72978503241</v>
      </c>
      <c r="DD27" s="75">
        <f t="shared" si="46"/>
        <v>35617.448029658219</v>
      </c>
      <c r="DE27" s="75">
        <f t="shared" si="46"/>
        <v>36507.884230399672</v>
      </c>
      <c r="DF27" s="75">
        <f t="shared" si="46"/>
        <v>37420.581336159659</v>
      </c>
      <c r="DG27" s="75">
        <f t="shared" si="46"/>
        <v>38356.095869563651</v>
      </c>
      <c r="DH27" s="75">
        <f t="shared" si="46"/>
        <v>39314.99826630274</v>
      </c>
      <c r="DI27" s="75">
        <f t="shared" si="46"/>
        <v>40297.873222960305</v>
      </c>
      <c r="DJ27" s="75">
        <f t="shared" si="46"/>
        <v>41305.320053534306</v>
      </c>
      <c r="DK27" s="75">
        <f t="shared" si="46"/>
        <v>42337.953054872662</v>
      </c>
      <c r="DL27" s="75">
        <f t="shared" si="46"/>
        <v>43396.401881244477</v>
      </c>
      <c r="DM27" s="75">
        <f t="shared" si="46"/>
        <v>44481.311928275587</v>
      </c>
      <c r="DN27" s="75">
        <f t="shared" si="46"/>
        <v>45593.344726482472</v>
      </c>
      <c r="DO27" s="75">
        <f t="shared" si="46"/>
        <v>46733.178344644526</v>
      </c>
      <c r="DP27" s="75">
        <f t="shared" si="46"/>
        <v>47901.507803260632</v>
      </c>
      <c r="DQ27" s="75">
        <f t="shared" si="46"/>
        <v>49099.045498342144</v>
      </c>
      <c r="DR27" s="75">
        <f t="shared" si="46"/>
        <v>50326.521635800695</v>
      </c>
      <c r="DS27" s="75">
        <f t="shared" si="46"/>
        <v>51584.68467669571</v>
      </c>
      <c r="DT27" s="75">
        <f t="shared" si="46"/>
        <v>52874.3017936131</v>
      </c>
      <c r="DU27" s="75">
        <f t="shared" si="46"/>
        <v>54196.159338453421</v>
      </c>
      <c r="DV27" s="75">
        <f t="shared" si="46"/>
        <v>55551.063321914749</v>
      </c>
      <c r="DW27" s="75">
        <f t="shared" si="46"/>
        <v>56939.83990496261</v>
      </c>
      <c r="DX27" s="75">
        <f t="shared" si="46"/>
        <v>58363.335902586667</v>
      </c>
      <c r="DY27" s="75">
        <f t="shared" si="46"/>
        <v>59822.419300151327</v>
      </c>
      <c r="DZ27" s="75">
        <f t="shared" si="46"/>
        <v>61317.979782655108</v>
      </c>
      <c r="EA27" s="75">
        <f t="shared" si="46"/>
        <v>62850.929277221483</v>
      </c>
      <c r="EB27" s="75">
        <f t="shared" si="46"/>
        <v>64422.202509152012</v>
      </c>
      <c r="EC27" s="75">
        <f t="shared" si="46"/>
        <v>66032.757571880808</v>
      </c>
      <c r="ED27" s="75">
        <f t="shared" si="46"/>
        <v>67683.576511177816</v>
      </c>
      <c r="EE27" s="75">
        <f t="shared" si="46"/>
        <v>69375.665923957262</v>
      </c>
      <c r="EF27" s="75">
        <f t="shared" si="46"/>
        <v>71110.05757205619</v>
      </c>
      <c r="EG27" s="75">
        <f t="shared" si="46"/>
        <v>72887.809011357589</v>
      </c>
      <c r="EH27" s="75">
        <f t="shared" si="46"/>
        <v>74710.004236641529</v>
      </c>
      <c r="EI27" s="75">
        <f t="shared" si="46"/>
        <v>76577.754342557557</v>
      </c>
      <c r="EJ27" s="75">
        <f t="shared" si="46"/>
        <v>78492.198201121486</v>
      </c>
      <c r="EK27" s="75">
        <f t="shared" si="46"/>
        <v>80454.503156149513</v>
      </c>
      <c r="EL27" s="75">
        <f t="shared" si="46"/>
        <v>82465.865735053245</v>
      </c>
      <c r="EM27" s="75">
        <f t="shared" si="46"/>
        <v>84527.512378429572</v>
      </c>
      <c r="EN27" s="75">
        <f t="shared" si="46"/>
        <v>86640.70018789031</v>
      </c>
      <c r="EO27" s="75">
        <f t="shared" si="46"/>
        <v>88806.717692587554</v>
      </c>
      <c r="EP27" s="75">
        <f t="shared" si="46"/>
        <v>91026.885634902239</v>
      </c>
      <c r="EQ27" s="75">
        <f t="shared" si="46"/>
        <v>93302.557775774781</v>
      </c>
      <c r="ER27" s="75">
        <f t="shared" si="46"/>
        <v>95635.121720169147</v>
      </c>
      <c r="ES27" s="75">
        <f t="shared" si="46"/>
        <v>98025.999763173371</v>
      </c>
      <c r="ET27" s="75">
        <f t="shared" si="46"/>
        <v>100476.6497572527</v>
      </c>
      <c r="EU27" s="34"/>
      <c r="EV27" s="34"/>
    </row>
    <row r="28" spans="2:152">
      <c r="B28" s="1" t="s">
        <v>1485</v>
      </c>
      <c r="AY28" s="47">
        <v>2.7</v>
      </c>
      <c r="AZ28" s="47">
        <v>2</v>
      </c>
      <c r="BA28" s="47">
        <v>2.9</v>
      </c>
      <c r="BB28" s="47">
        <f>6.2-SUM(AY28:BA28)</f>
        <v>-1.3999999999999995</v>
      </c>
      <c r="BC28" s="47">
        <v>8.9</v>
      </c>
      <c r="BD28" s="47">
        <v>5.8</v>
      </c>
      <c r="BE28" s="47">
        <v>6.7</v>
      </c>
      <c r="BF28" s="47">
        <f>23.5-SUM(BC28:BE28)</f>
        <v>2.1000000000000014</v>
      </c>
      <c r="BG28" s="47">
        <v>3.8</v>
      </c>
      <c r="BH28" s="47">
        <v>5.8</v>
      </c>
      <c r="BI28" s="47">
        <v>0.7</v>
      </c>
      <c r="BJ28" s="47">
        <f>22.1-SUM(BG28:BI28)</f>
        <v>11.800000000000002</v>
      </c>
      <c r="BK28" s="47">
        <v>5.5</v>
      </c>
      <c r="BL28" s="47">
        <v>5.2</v>
      </c>
      <c r="BM28" s="47">
        <v>4.0999999999999996</v>
      </c>
      <c r="BN28" s="47">
        <f>19.3-SUM(BK28:BM28)</f>
        <v>4.5000000000000018</v>
      </c>
      <c r="BO28" s="47">
        <v>2.5</v>
      </c>
      <c r="BP28" s="47">
        <v>4.5999999999999996</v>
      </c>
      <c r="BQ28" s="47">
        <v>5.5</v>
      </c>
      <c r="BR28" s="47">
        <f>14.9-SUM(BO28:BQ28)</f>
        <v>2.3000000000000007</v>
      </c>
      <c r="BS28" s="47">
        <v>5.3</v>
      </c>
      <c r="BT28" s="47">
        <v>5.8</v>
      </c>
      <c r="BU28" s="47">
        <v>4.8</v>
      </c>
      <c r="CH28" s="47">
        <f t="shared" si="23"/>
        <v>6.2</v>
      </c>
      <c r="CI28" s="47">
        <f t="shared" si="24"/>
        <v>23.5</v>
      </c>
      <c r="CJ28" s="47">
        <f t="shared" si="25"/>
        <v>22.1</v>
      </c>
      <c r="CK28" s="47">
        <f t="shared" si="26"/>
        <v>19.3</v>
      </c>
      <c r="CL28" s="47">
        <f t="shared" si="27"/>
        <v>14.9</v>
      </c>
      <c r="CM28" s="74"/>
      <c r="CN28" s="74"/>
      <c r="CO28" s="74"/>
      <c r="CP28" s="74"/>
      <c r="CQ28" s="74"/>
      <c r="CR28" s="74"/>
      <c r="CS28" s="74"/>
      <c r="CT28" s="74"/>
      <c r="CU28" s="74"/>
      <c r="CV28" s="74"/>
    </row>
    <row r="29" spans="2:152">
      <c r="B29" s="1" t="s">
        <v>1486</v>
      </c>
      <c r="AY29" s="47">
        <f t="shared" ref="AY29:BS29" si="47">AY27-AY28</f>
        <v>313.3</v>
      </c>
      <c r="AZ29" s="47">
        <f t="shared" si="47"/>
        <v>68.199999999999903</v>
      </c>
      <c r="BA29" s="47">
        <f t="shared" si="47"/>
        <v>313.90000000000015</v>
      </c>
      <c r="BB29" s="47">
        <f t="shared" si="47"/>
        <v>365.19999999999993</v>
      </c>
      <c r="BC29" s="47">
        <f t="shared" si="47"/>
        <v>426.2999999999999</v>
      </c>
      <c r="BD29" s="47">
        <f t="shared" si="47"/>
        <v>517.20000000000005</v>
      </c>
      <c r="BE29" s="47">
        <f t="shared" si="47"/>
        <v>380.50000000000006</v>
      </c>
      <c r="BF29" s="47">
        <f t="shared" si="47"/>
        <v>380.60000000000019</v>
      </c>
      <c r="BG29" s="47">
        <f t="shared" si="47"/>
        <v>365.6</v>
      </c>
      <c r="BH29" s="47">
        <f t="shared" si="47"/>
        <v>307.80000000000013</v>
      </c>
      <c r="BI29" s="47">
        <f t="shared" si="47"/>
        <v>324.00000000000006</v>
      </c>
      <c r="BJ29" s="47">
        <f t="shared" si="47"/>
        <v>324.90000000000009</v>
      </c>
      <c r="BK29" s="47">
        <f t="shared" si="47"/>
        <v>355.3</v>
      </c>
      <c r="BL29" s="47">
        <f t="shared" si="47"/>
        <v>420.80000000000007</v>
      </c>
      <c r="BM29" s="47">
        <f t="shared" si="47"/>
        <v>415.70000000000033</v>
      </c>
      <c r="BN29" s="47">
        <f t="shared" si="47"/>
        <v>606.20000000000027</v>
      </c>
      <c r="BO29" s="47">
        <f t="shared" si="47"/>
        <v>544.90000000000009</v>
      </c>
      <c r="BP29" s="47">
        <f t="shared" si="47"/>
        <v>526.90000000000009</v>
      </c>
      <c r="BQ29" s="47">
        <f t="shared" si="47"/>
        <v>565.09999999999991</v>
      </c>
      <c r="BR29" s="47">
        <f t="shared" si="47"/>
        <v>685.70000000000027</v>
      </c>
      <c r="BS29" s="47">
        <f t="shared" si="47"/>
        <v>698.4000000000002</v>
      </c>
      <c r="BT29" s="47">
        <f>BT27-BT28</f>
        <v>658.4000000000002</v>
      </c>
      <c r="BU29" s="47">
        <f>BU27-BU28</f>
        <v>703.79999999999984</v>
      </c>
      <c r="CH29" s="47">
        <f t="shared" si="23"/>
        <v>1060.5999999999999</v>
      </c>
      <c r="CI29" s="47">
        <f t="shared" si="24"/>
        <v>1704.6000000000001</v>
      </c>
      <c r="CJ29" s="47">
        <f t="shared" si="25"/>
        <v>1322.3000000000002</v>
      </c>
      <c r="CK29" s="47">
        <f t="shared" si="26"/>
        <v>1798.0000000000007</v>
      </c>
      <c r="CL29" s="47">
        <f t="shared" si="27"/>
        <v>2322.6000000000004</v>
      </c>
      <c r="CM29" s="74"/>
      <c r="CN29" s="74"/>
      <c r="CO29" s="74"/>
      <c r="CP29" s="74"/>
      <c r="CQ29" s="74"/>
      <c r="CR29" s="74"/>
      <c r="CS29" s="74"/>
      <c r="CT29" s="74"/>
      <c r="CU29" s="74"/>
      <c r="CV29" s="74"/>
    </row>
    <row r="30" spans="2:152">
      <c r="B30" s="1" t="s">
        <v>145</v>
      </c>
      <c r="AY30" s="1">
        <v>116.4</v>
      </c>
      <c r="AZ30" s="1">
        <v>116.8</v>
      </c>
      <c r="BA30" s="1">
        <v>352</v>
      </c>
      <c r="BB30" s="1">
        <v>351.1</v>
      </c>
      <c r="BC30" s="1">
        <v>354.2</v>
      </c>
      <c r="BD30" s="1">
        <v>355.7</v>
      </c>
      <c r="BE30" s="1">
        <v>356.8</v>
      </c>
      <c r="BF30" s="1">
        <v>356.1</v>
      </c>
      <c r="BG30" s="1">
        <v>358.4</v>
      </c>
      <c r="BH30" s="1">
        <v>358.1</v>
      </c>
      <c r="BI30" s="1">
        <v>355.3</v>
      </c>
      <c r="BJ30" s="1">
        <v>355.7</v>
      </c>
      <c r="BK30" s="1">
        <v>350.2</v>
      </c>
      <c r="BL30" s="1">
        <v>350.9</v>
      </c>
      <c r="BM30" s="1">
        <v>351.7</v>
      </c>
      <c r="BN30" s="1">
        <v>351.2</v>
      </c>
      <c r="BO30" s="1">
        <v>353.5</v>
      </c>
      <c r="BP30" s="45">
        <v>355</v>
      </c>
      <c r="BQ30" s="1">
        <v>355.8</v>
      </c>
      <c r="BR30" s="47">
        <v>355.2</v>
      </c>
      <c r="BS30" s="1">
        <v>357.5</v>
      </c>
      <c r="BT30" s="1">
        <v>358.5</v>
      </c>
      <c r="BU30" s="1">
        <v>356.6</v>
      </c>
      <c r="CH30" s="45">
        <f t="shared" si="23"/>
        <v>936.30000000000007</v>
      </c>
      <c r="CI30" s="45">
        <f t="shared" si="24"/>
        <v>1422.8000000000002</v>
      </c>
      <c r="CJ30" s="45">
        <f t="shared" si="25"/>
        <v>1427.5</v>
      </c>
      <c r="CK30" s="45">
        <f t="shared" si="26"/>
        <v>1404</v>
      </c>
      <c r="CL30" s="45">
        <f t="shared" si="27"/>
        <v>1419.5</v>
      </c>
    </row>
    <row r="31" spans="2:152">
      <c r="B31" s="1" t="s">
        <v>1466</v>
      </c>
      <c r="AY31" s="39">
        <f t="shared" ref="AY31:BS31" si="48">AY27/AY30</f>
        <v>2.7147766323024052</v>
      </c>
      <c r="AZ31" s="39">
        <f t="shared" si="48"/>
        <v>0.60102739726027321</v>
      </c>
      <c r="BA31" s="39">
        <f t="shared" si="48"/>
        <v>0.90000000000000036</v>
      </c>
      <c r="BB31" s="39">
        <f t="shared" si="48"/>
        <v>1.0361720307604669</v>
      </c>
      <c r="BC31" s="39">
        <f t="shared" si="48"/>
        <v>1.2286843591191414</v>
      </c>
      <c r="BD31" s="39">
        <f t="shared" si="48"/>
        <v>1.4703401743041891</v>
      </c>
      <c r="BE31" s="39">
        <f t="shared" si="48"/>
        <v>1.0852017937219731</v>
      </c>
      <c r="BF31" s="39">
        <f t="shared" si="48"/>
        <v>1.0746981185060382</v>
      </c>
      <c r="BG31" s="39">
        <f t="shared" si="48"/>
        <v>1.0306919642857144</v>
      </c>
      <c r="BH31" s="39">
        <f t="shared" si="48"/>
        <v>0.87573303546495429</v>
      </c>
      <c r="BI31" s="39">
        <f t="shared" si="48"/>
        <v>0.91387559808612451</v>
      </c>
      <c r="BJ31" s="39">
        <f t="shared" si="48"/>
        <v>0.94658420016868183</v>
      </c>
      <c r="BK31" s="39">
        <f t="shared" si="48"/>
        <v>1.0302684180468304</v>
      </c>
      <c r="BL31" s="39">
        <f t="shared" si="48"/>
        <v>1.2140210886292393</v>
      </c>
      <c r="BM31" s="39">
        <f t="shared" si="48"/>
        <v>1.1936309354563559</v>
      </c>
      <c r="BN31" s="39">
        <f t="shared" si="48"/>
        <v>1.7388952164009119</v>
      </c>
      <c r="BO31" s="39">
        <f t="shared" si="48"/>
        <v>1.5485148514851488</v>
      </c>
      <c r="BP31" s="39">
        <f t="shared" si="48"/>
        <v>1.4971830985915495</v>
      </c>
      <c r="BQ31" s="39">
        <f t="shared" si="48"/>
        <v>1.6037099494097804</v>
      </c>
      <c r="BR31" s="39">
        <f t="shared" si="48"/>
        <v>1.9369369369369376</v>
      </c>
      <c r="BS31" s="39">
        <f t="shared" si="48"/>
        <v>1.9683916083916089</v>
      </c>
      <c r="BT31" s="39">
        <f>BT27/BT30</f>
        <v>1.8527196652719671</v>
      </c>
      <c r="BU31" s="39">
        <f>BU27/BU30</f>
        <v>1.9871003925967463</v>
      </c>
      <c r="CH31" s="39">
        <f t="shared" si="23"/>
        <v>5.2519760603231456</v>
      </c>
      <c r="CI31" s="39">
        <f t="shared" si="24"/>
        <v>4.8589244456513416</v>
      </c>
      <c r="CJ31" s="39">
        <f t="shared" si="25"/>
        <v>3.7668847980054752</v>
      </c>
      <c r="CK31" s="39">
        <f t="shared" si="26"/>
        <v>5.1768156585333376</v>
      </c>
      <c r="CL31" s="39">
        <f t="shared" si="27"/>
        <v>6.5863448364234163</v>
      </c>
    </row>
    <row r="32" spans="2:152">
      <c r="BT32" s="1"/>
      <c r="BU32" s="1"/>
    </row>
    <row r="33" spans="2:102">
      <c r="B33" s="37" t="s">
        <v>126</v>
      </c>
      <c r="AY33" s="48">
        <f t="shared" ref="AY33:BS33" si="49">AY20/AY18</f>
        <v>0.67139608913142346</v>
      </c>
      <c r="AZ33" s="48">
        <f t="shared" si="49"/>
        <v>0.5901889449595118</v>
      </c>
      <c r="BA33" s="48">
        <f t="shared" si="49"/>
        <v>0.67207942841235968</v>
      </c>
      <c r="BB33" s="48">
        <f t="shared" si="49"/>
        <v>0.67398991798961705</v>
      </c>
      <c r="BC33" s="48">
        <f t="shared" si="49"/>
        <v>0.69855274359569686</v>
      </c>
      <c r="BD33" s="48">
        <f t="shared" si="49"/>
        <v>0.69924863387978142</v>
      </c>
      <c r="BE33" s="48">
        <f t="shared" si="49"/>
        <v>0.69222546853844513</v>
      </c>
      <c r="BF33" s="48">
        <f t="shared" si="49"/>
        <v>0.6840781582511124</v>
      </c>
      <c r="BG33" s="48">
        <f t="shared" si="49"/>
        <v>0.67869866236472409</v>
      </c>
      <c r="BH33" s="48">
        <f t="shared" si="49"/>
        <v>0.67229485579134096</v>
      </c>
      <c r="BI33" s="48">
        <f t="shared" si="49"/>
        <v>0.67554899190959294</v>
      </c>
      <c r="BJ33" s="48">
        <f t="shared" si="49"/>
        <v>0.67123867069486409</v>
      </c>
      <c r="BK33" s="48">
        <f t="shared" si="49"/>
        <v>0.65617262115316588</v>
      </c>
      <c r="BL33" s="48">
        <f t="shared" si="49"/>
        <v>0.66740702773506466</v>
      </c>
      <c r="BM33" s="48">
        <f t="shared" si="49"/>
        <v>0.66938120089464936</v>
      </c>
      <c r="BN33" s="48">
        <f t="shared" si="49"/>
        <v>0.66244878908883487</v>
      </c>
      <c r="BO33" s="48">
        <f t="shared" si="49"/>
        <v>0.65873267745689201</v>
      </c>
      <c r="BP33" s="48">
        <f t="shared" si="49"/>
        <v>0.68296930195532113</v>
      </c>
      <c r="BQ33" s="48">
        <f t="shared" si="49"/>
        <v>0.67410823806486431</v>
      </c>
      <c r="BR33" s="48">
        <f t="shared" si="49"/>
        <v>0.6804226227470479</v>
      </c>
      <c r="BS33" s="48">
        <f t="shared" si="49"/>
        <v>0.64688914529155939</v>
      </c>
      <c r="BT33" s="48">
        <f>BT20/BT18</f>
        <v>0.66307377049180327</v>
      </c>
      <c r="BU33" s="48">
        <f>BU20/BU18</f>
        <v>0.66348534462103659</v>
      </c>
      <c r="CH33" s="48">
        <f t="shared" ref="CH33:CL33" si="50">CH20/CH18</f>
        <v>0.65647944199706321</v>
      </c>
      <c r="CI33" s="48">
        <f t="shared" si="50"/>
        <v>0.69324530218384961</v>
      </c>
      <c r="CJ33" s="48">
        <f t="shared" si="50"/>
        <v>0.67435955128411185</v>
      </c>
      <c r="CK33" s="48">
        <f t="shared" si="50"/>
        <v>0.66387333136817284</v>
      </c>
      <c r="CL33" s="48">
        <f t="shared" si="50"/>
        <v>0.67458483495168875</v>
      </c>
      <c r="CM33" s="72">
        <v>0.67249999999999999</v>
      </c>
      <c r="CN33" s="72">
        <v>0.67500000000000004</v>
      </c>
      <c r="CO33" s="72">
        <v>0.67749999999999999</v>
      </c>
      <c r="CP33" s="72">
        <v>0.68</v>
      </c>
      <c r="CQ33" s="72">
        <v>0.68500000000000005</v>
      </c>
      <c r="CR33" s="72">
        <v>0.69</v>
      </c>
      <c r="CS33" s="72">
        <v>0.69499999999999995</v>
      </c>
      <c r="CT33" s="72">
        <v>0.7</v>
      </c>
      <c r="CU33" s="72">
        <v>0.71</v>
      </c>
      <c r="CV33" s="72">
        <v>0.71</v>
      </c>
    </row>
    <row r="34" spans="2:102">
      <c r="B34" s="37" t="s">
        <v>128</v>
      </c>
      <c r="AY34" s="48">
        <f t="shared" ref="AY34:BT34" si="51">AY21/AY18</f>
        <v>0.28021828103683494</v>
      </c>
      <c r="AZ34" s="48">
        <f t="shared" si="51"/>
        <v>0.32754371552634676</v>
      </c>
      <c r="BA34" s="48">
        <f t="shared" si="51"/>
        <v>0.27734991184930868</v>
      </c>
      <c r="BB34" s="48">
        <f t="shared" si="51"/>
        <v>0.24843879316830936</v>
      </c>
      <c r="BC34" s="48">
        <f t="shared" si="51"/>
        <v>0.25230245337048218</v>
      </c>
      <c r="BD34" s="48">
        <f t="shared" si="51"/>
        <v>0.23920765027322405</v>
      </c>
      <c r="BE34" s="48">
        <f t="shared" si="51"/>
        <v>0.25888975985177798</v>
      </c>
      <c r="BF34" s="48">
        <f t="shared" si="51"/>
        <v>0.27535951505771583</v>
      </c>
      <c r="BG34" s="48">
        <f t="shared" si="51"/>
        <v>0.26288902332459502</v>
      </c>
      <c r="BH34" s="48">
        <f t="shared" si="51"/>
        <v>0.27488338479731944</v>
      </c>
      <c r="BI34" s="48">
        <f t="shared" si="51"/>
        <v>0.2800179786824194</v>
      </c>
      <c r="BJ34" s="48">
        <f t="shared" si="51"/>
        <v>0.29867069486404835</v>
      </c>
      <c r="BK34" s="48">
        <f t="shared" si="51"/>
        <v>0.28328027355264707</v>
      </c>
      <c r="BL34" s="48">
        <f t="shared" si="51"/>
        <v>0.26442280312090666</v>
      </c>
      <c r="BM34" s="48">
        <f t="shared" si="51"/>
        <v>0.25921890233411704</v>
      </c>
      <c r="BN34" s="48">
        <f t="shared" si="51"/>
        <v>0.29409324275268378</v>
      </c>
      <c r="BO34" s="48">
        <f t="shared" si="51"/>
        <v>0.25997037977361681</v>
      </c>
      <c r="BP34" s="48">
        <f t="shared" si="51"/>
        <v>0.26135628638240704</v>
      </c>
      <c r="BQ34" s="48">
        <f t="shared" si="51"/>
        <v>0.2505274520386635</v>
      </c>
      <c r="BR34" s="48">
        <f t="shared" si="51"/>
        <v>0.25382224984462393</v>
      </c>
      <c r="BS34" s="48">
        <f t="shared" si="51"/>
        <v>0.2500221886926422</v>
      </c>
      <c r="BT34" s="48">
        <f t="shared" si="51"/>
        <v>0.23</v>
      </c>
      <c r="BU34" s="48">
        <f t="shared" ref="BU34" si="52">BU21/BU18</f>
        <v>0.22893538854724063</v>
      </c>
      <c r="CH34" s="48">
        <f>CH21/CH18</f>
        <v>0.27907030102790015</v>
      </c>
      <c r="CI34" s="48">
        <f>CI21/CI18</f>
        <v>0.25682562477014409</v>
      </c>
      <c r="CJ34" s="48">
        <f>CJ21/CJ18</f>
        <v>0.27962778438494423</v>
      </c>
      <c r="CK34" s="48">
        <f>CK21/CK18</f>
        <v>0.27566990918151063</v>
      </c>
      <c r="CL34" s="48">
        <f>CL21/CL18</f>
        <v>0.25622298583589753</v>
      </c>
      <c r="CM34" s="72">
        <v>0.23</v>
      </c>
      <c r="CN34" s="72">
        <v>0.22600000000000001</v>
      </c>
      <c r="CO34" s="72">
        <v>0.222</v>
      </c>
      <c r="CP34" s="72">
        <v>0.22</v>
      </c>
      <c r="CQ34" s="72">
        <v>0.218</v>
      </c>
      <c r="CR34" s="72">
        <v>0.216</v>
      </c>
      <c r="CS34" s="72">
        <v>0.214</v>
      </c>
      <c r="CT34" s="72">
        <v>0.21199999999999999</v>
      </c>
      <c r="CU34" s="72">
        <v>0.21</v>
      </c>
      <c r="CV34" s="72">
        <v>0.21</v>
      </c>
    </row>
    <row r="35" spans="2:102">
      <c r="B35" s="37" t="s">
        <v>127</v>
      </c>
      <c r="AY35" s="48">
        <f t="shared" ref="AY35:BS35" si="53">AY22/AY18</f>
        <v>0.13378808549340609</v>
      </c>
      <c r="AZ35" s="48">
        <f t="shared" si="53"/>
        <v>0.16805539255955873</v>
      </c>
      <c r="BA35" s="48">
        <f t="shared" si="53"/>
        <v>0.14382481209984224</v>
      </c>
      <c r="BB35" s="48">
        <f t="shared" si="53"/>
        <v>0.11270784741554442</v>
      </c>
      <c r="BC35" s="48">
        <f t="shared" si="53"/>
        <v>0.12367463818589894</v>
      </c>
      <c r="BD35" s="48">
        <f t="shared" si="53"/>
        <v>0.11086065573770493</v>
      </c>
      <c r="BE35" s="48">
        <f t="shared" si="53"/>
        <v>0.11793629302358727</v>
      </c>
      <c r="BF35" s="48">
        <f t="shared" si="53"/>
        <v>0.11826916876249433</v>
      </c>
      <c r="BG35" s="48">
        <f t="shared" si="53"/>
        <v>0.14149358069503259</v>
      </c>
      <c r="BH35" s="48">
        <f t="shared" si="53"/>
        <v>0.13619341698968529</v>
      </c>
      <c r="BI35" s="48">
        <f t="shared" si="53"/>
        <v>0.13939899833055092</v>
      </c>
      <c r="BJ35" s="48">
        <f t="shared" si="53"/>
        <v>0.14749244712990933</v>
      </c>
      <c r="BK35" s="48">
        <f t="shared" si="53"/>
        <v>0.14438155877844594</v>
      </c>
      <c r="BL35" s="48">
        <f t="shared" si="53"/>
        <v>0.13918788085881884</v>
      </c>
      <c r="BM35" s="48">
        <f t="shared" si="53"/>
        <v>0.14302919080116991</v>
      </c>
      <c r="BN35" s="48">
        <f t="shared" si="53"/>
        <v>0.13488565057304355</v>
      </c>
      <c r="BO35" s="48">
        <f t="shared" si="53"/>
        <v>0.15048132867872632</v>
      </c>
      <c r="BP35" s="48">
        <f t="shared" si="53"/>
        <v>0.13936016717249614</v>
      </c>
      <c r="BQ35" s="48">
        <f t="shared" si="53"/>
        <v>0.14032677493744175</v>
      </c>
      <c r="BR35" s="48">
        <f t="shared" si="53"/>
        <v>0.1221048270147089</v>
      </c>
      <c r="BS35" s="48">
        <f t="shared" si="53"/>
        <v>0.14032129226945947</v>
      </c>
      <c r="BT35" s="48">
        <f>BT22/BT18</f>
        <v>0.1284016393442623</v>
      </c>
      <c r="BU35" s="48">
        <f>BU22/BU18</f>
        <v>0.13141921571759446</v>
      </c>
      <c r="CH35" s="48">
        <f t="shared" ref="CH35:CL35" si="54">CH22/CH18</f>
        <v>0.13654093245227608</v>
      </c>
      <c r="CI35" s="48">
        <f t="shared" si="54"/>
        <v>0.11751107686380273</v>
      </c>
      <c r="CJ35" s="48">
        <f t="shared" si="54"/>
        <v>0.14126836167272025</v>
      </c>
      <c r="CK35" s="48">
        <f t="shared" si="54"/>
        <v>0.14020016563495738</v>
      </c>
      <c r="CL35" s="48">
        <f t="shared" si="54"/>
        <v>0.1371271895690904</v>
      </c>
      <c r="CM35" s="72">
        <v>0.13</v>
      </c>
      <c r="CN35" s="72">
        <v>0.13250000000000001</v>
      </c>
      <c r="CO35" s="72">
        <v>0.13</v>
      </c>
      <c r="CP35" s="72">
        <v>0.129</v>
      </c>
      <c r="CQ35" s="72">
        <v>0.128</v>
      </c>
      <c r="CR35" s="72">
        <v>0.127</v>
      </c>
      <c r="CS35" s="72">
        <v>0.126</v>
      </c>
      <c r="CT35" s="72">
        <v>0.125</v>
      </c>
      <c r="CU35" s="72">
        <v>0.125</v>
      </c>
      <c r="CV35" s="72">
        <v>0.125</v>
      </c>
    </row>
    <row r="36" spans="2:102">
      <c r="B36" s="37" t="s">
        <v>129</v>
      </c>
      <c r="AY36" s="48">
        <f t="shared" ref="AY36:BT36" si="55">AY23/AY18</f>
        <v>0.25738972260118237</v>
      </c>
      <c r="AZ36" s="48">
        <f t="shared" si="55"/>
        <v>9.4589836873606281E-2</v>
      </c>
      <c r="BA36" s="48">
        <f t="shared" si="55"/>
        <v>0.25090470446320878</v>
      </c>
      <c r="BB36" s="48">
        <f t="shared" si="55"/>
        <v>0.31284327740576329</v>
      </c>
      <c r="BC36" s="48">
        <f t="shared" si="55"/>
        <v>0.32257565203931576</v>
      </c>
      <c r="BD36" s="48">
        <f t="shared" si="55"/>
        <v>0.3491803278688525</v>
      </c>
      <c r="BE36" s="48">
        <f t="shared" si="55"/>
        <v>0.31539941566307989</v>
      </c>
      <c r="BF36" s="48">
        <f t="shared" si="55"/>
        <v>0.29044947443090224</v>
      </c>
      <c r="BG36" s="48">
        <f t="shared" si="55"/>
        <v>0.27431605834509648</v>
      </c>
      <c r="BH36" s="48">
        <f t="shared" si="55"/>
        <v>0.26121805400433618</v>
      </c>
      <c r="BI36" s="48">
        <f t="shared" si="55"/>
        <v>0.25613201489662263</v>
      </c>
      <c r="BJ36" s="48">
        <f t="shared" si="55"/>
        <v>0.22507552870090636</v>
      </c>
      <c r="BK36" s="48">
        <f t="shared" si="55"/>
        <v>0.22851078882207287</v>
      </c>
      <c r="BL36" s="48">
        <f t="shared" si="55"/>
        <v>0.26379634375533917</v>
      </c>
      <c r="BM36" s="48">
        <f t="shared" si="55"/>
        <v>0.26713310775936239</v>
      </c>
      <c r="BN36" s="48">
        <f t="shared" si="55"/>
        <v>0.23346989576310753</v>
      </c>
      <c r="BO36" s="48">
        <f t="shared" si="55"/>
        <v>0.24828096900454885</v>
      </c>
      <c r="BP36" s="48">
        <f t="shared" si="55"/>
        <v>0.28225284840041798</v>
      </c>
      <c r="BQ36" s="48">
        <f t="shared" si="55"/>
        <v>0.28325401108875908</v>
      </c>
      <c r="BR36" s="48">
        <f t="shared" si="55"/>
        <v>0.30449554588771505</v>
      </c>
      <c r="BS36" s="48">
        <f t="shared" si="55"/>
        <v>0.25654566432945775</v>
      </c>
      <c r="BT36" s="48">
        <f t="shared" si="55"/>
        <v>0.30467213114754105</v>
      </c>
      <c r="BU36" s="48">
        <f t="shared" ref="BU36" si="56">BU23/BU18</f>
        <v>0.30313074035620152</v>
      </c>
      <c r="CH36" s="48">
        <f t="shared" ref="CH36:CM36" si="57">CH23/CH18</f>
        <v>0.24086820851688695</v>
      </c>
      <c r="CI36" s="48">
        <f t="shared" si="57"/>
        <v>0.31890860054990278</v>
      </c>
      <c r="CJ36" s="48">
        <f t="shared" si="57"/>
        <v>0.25346340522644728</v>
      </c>
      <c r="CK36" s="48">
        <f t="shared" si="57"/>
        <v>0.24800325655170483</v>
      </c>
      <c r="CL36" s="48">
        <f t="shared" si="57"/>
        <v>0.28123465954670085</v>
      </c>
      <c r="CM36" s="72">
        <f t="shared" si="57"/>
        <v>0.3125</v>
      </c>
      <c r="CN36" s="72">
        <f t="shared" ref="CN36:CV36" si="58">CN23/CN18</f>
        <v>0.3165</v>
      </c>
      <c r="CO36" s="72">
        <f t="shared" si="58"/>
        <v>0.32550000000000001</v>
      </c>
      <c r="CP36" s="72">
        <f t="shared" si="58"/>
        <v>0.33100000000000002</v>
      </c>
      <c r="CQ36" s="72">
        <f t="shared" si="58"/>
        <v>0.33900000000000008</v>
      </c>
      <c r="CR36" s="72">
        <f t="shared" si="58"/>
        <v>0.34699999999999998</v>
      </c>
      <c r="CS36" s="72">
        <f t="shared" si="58"/>
        <v>0.35499999999999993</v>
      </c>
      <c r="CT36" s="72">
        <f t="shared" si="58"/>
        <v>0.36299999999999999</v>
      </c>
      <c r="CU36" s="72">
        <f t="shared" si="58"/>
        <v>0.375</v>
      </c>
      <c r="CV36" s="72">
        <f t="shared" si="58"/>
        <v>0.37499999999999994</v>
      </c>
    </row>
    <row r="37" spans="2:102">
      <c r="B37" s="37" t="s">
        <v>130</v>
      </c>
      <c r="AY37" s="48">
        <f t="shared" ref="AY37:BT37" si="59">AY26/AY25</f>
        <v>-2.5974025974025976E-2</v>
      </c>
      <c r="AZ37" s="48">
        <f t="shared" si="59"/>
        <v>0.34514925373134359</v>
      </c>
      <c r="BA37" s="48">
        <f t="shared" si="59"/>
        <v>0.10810810810810807</v>
      </c>
      <c r="BB37" s="48">
        <f t="shared" si="59"/>
        <v>0.1667430142006413</v>
      </c>
      <c r="BC37" s="48">
        <f t="shared" si="59"/>
        <v>3.0303030303030311E-2</v>
      </c>
      <c r="BD37" s="48">
        <f t="shared" si="59"/>
        <v>6.081337894336754E-3</v>
      </c>
      <c r="BE37" s="48">
        <f t="shared" si="59"/>
        <v>0.16026892214270225</v>
      </c>
      <c r="BF37" s="48">
        <f t="shared" si="59"/>
        <v>0.15741963892558333</v>
      </c>
      <c r="BG37" s="48">
        <f t="shared" si="59"/>
        <v>8.2007952286282298E-2</v>
      </c>
      <c r="BH37" s="48">
        <f t="shared" si="59"/>
        <v>0.22929466699434742</v>
      </c>
      <c r="BI37" s="48">
        <f t="shared" si="59"/>
        <v>0.19389275074478646</v>
      </c>
      <c r="BJ37" s="48">
        <f t="shared" si="59"/>
        <v>0.14694704839118314</v>
      </c>
      <c r="BK37" s="48">
        <f t="shared" si="59"/>
        <v>0.14461830251303937</v>
      </c>
      <c r="BL37" s="48">
        <f t="shared" si="59"/>
        <v>0.14663461538461536</v>
      </c>
      <c r="BM37" s="48">
        <f t="shared" si="59"/>
        <v>0.19578544061302669</v>
      </c>
      <c r="BN37" s="48">
        <f t="shared" si="59"/>
        <v>-0.18375654196549704</v>
      </c>
      <c r="BO37" s="48">
        <f t="shared" si="59"/>
        <v>-1.652739090064995E-2</v>
      </c>
      <c r="BP37" s="48">
        <f t="shared" si="59"/>
        <v>0.18792971734148201</v>
      </c>
      <c r="BQ37" s="48">
        <f t="shared" si="59"/>
        <v>0.14962742175856933</v>
      </c>
      <c r="BR37" s="48">
        <f t="shared" si="59"/>
        <v>0.15040750802667324</v>
      </c>
      <c r="BS37" s="48">
        <f t="shared" si="59"/>
        <v>-5.2655198204936422E-2</v>
      </c>
      <c r="BT37" s="48">
        <f t="shared" si="59"/>
        <v>0.20177863237591634</v>
      </c>
      <c r="BU37" s="48">
        <f t="shared" ref="BU37" si="60">BU26/BU25</f>
        <v>0.17084015913877842</v>
      </c>
      <c r="CH37" s="48">
        <f>CH26/CH25</f>
        <v>0.11615575807787903</v>
      </c>
      <c r="CI37" s="48">
        <f>CI26/CI25</f>
        <v>8.5806485743003744E-2</v>
      </c>
      <c r="CJ37" s="48">
        <f>CJ26/CJ25</f>
        <v>0.16330594971371665</v>
      </c>
      <c r="CK37" s="48">
        <f>CK26/CK25</f>
        <v>7.2285466333146128E-2</v>
      </c>
      <c r="CL37" s="48">
        <f>CL26/CL25</f>
        <v>0.12577604906874112</v>
      </c>
      <c r="CM37" s="72">
        <v>0.12</v>
      </c>
      <c r="CN37" s="72">
        <v>0.16</v>
      </c>
      <c r="CO37" s="72">
        <v>0.16</v>
      </c>
      <c r="CP37" s="72">
        <v>0.16</v>
      </c>
      <c r="CQ37" s="72">
        <v>0.16</v>
      </c>
      <c r="CR37" s="72">
        <v>0.16</v>
      </c>
      <c r="CS37" s="72">
        <v>0.16</v>
      </c>
      <c r="CT37" s="72">
        <v>0.16</v>
      </c>
      <c r="CU37" s="72">
        <v>0.16</v>
      </c>
      <c r="CV37" s="72">
        <v>0.16</v>
      </c>
    </row>
    <row r="38" spans="2:102">
      <c r="B38" s="37" t="s">
        <v>131</v>
      </c>
      <c r="AY38" s="48">
        <f t="shared" ref="AY38:BT38" si="61">AY27/AY18</f>
        <v>0.28740336516598453</v>
      </c>
      <c r="AZ38" s="48">
        <f t="shared" si="61"/>
        <v>8.2384696631850621E-2</v>
      </c>
      <c r="BA38" s="48">
        <f t="shared" si="61"/>
        <v>0.29395935789180672</v>
      </c>
      <c r="BB38" s="48">
        <f t="shared" si="61"/>
        <v>0.27371905800917912</v>
      </c>
      <c r="BC38" s="48">
        <f t="shared" si="61"/>
        <v>0.33681603591053316</v>
      </c>
      <c r="BD38" s="48">
        <f t="shared" si="61"/>
        <v>0.35724043715846993</v>
      </c>
      <c r="BE38" s="48">
        <f t="shared" si="61"/>
        <v>0.27592104325518424</v>
      </c>
      <c r="BF38" s="48">
        <f t="shared" si="61"/>
        <v>0.24679177145805131</v>
      </c>
      <c r="BG38" s="48">
        <f t="shared" si="61"/>
        <v>0.24830274921019024</v>
      </c>
      <c r="BH38" s="48">
        <f t="shared" si="61"/>
        <v>0.20603114118651869</v>
      </c>
      <c r="BI38" s="48">
        <f t="shared" si="61"/>
        <v>0.20848850648516759</v>
      </c>
      <c r="BJ38" s="48">
        <f t="shared" si="61"/>
        <v>0.20344410876132932</v>
      </c>
      <c r="BK38" s="48">
        <f t="shared" si="61"/>
        <v>0.21271076523994811</v>
      </c>
      <c r="BL38" s="48">
        <f t="shared" si="61"/>
        <v>0.24261062702887409</v>
      </c>
      <c r="BM38" s="48">
        <f t="shared" si="61"/>
        <v>0.24075242300854521</v>
      </c>
      <c r="BN38" s="48">
        <f t="shared" si="61"/>
        <v>0.31670383239122557</v>
      </c>
      <c r="BO38" s="48">
        <f t="shared" si="61"/>
        <v>0.28953771289537716</v>
      </c>
      <c r="BP38" s="48">
        <f t="shared" si="61"/>
        <v>0.26444101696601824</v>
      </c>
      <c r="BQ38" s="48">
        <f t="shared" si="61"/>
        <v>0.27996663559197288</v>
      </c>
      <c r="BR38" s="48">
        <f t="shared" si="61"/>
        <v>0.28506318624404403</v>
      </c>
      <c r="BS38" s="48">
        <f t="shared" si="61"/>
        <v>0.31228366024673831</v>
      </c>
      <c r="BT38" s="48">
        <f t="shared" si="61"/>
        <v>0.27221311475409843</v>
      </c>
      <c r="BU38" s="48">
        <f t="shared" ref="BU38" si="62">BU27/BU18</f>
        <v>0.28296461943934187</v>
      </c>
      <c r="CH38" s="48">
        <f t="shared" ref="CH38:CM38" si="63">CH27/CH18</f>
        <v>0.24476872246696035</v>
      </c>
      <c r="CI38" s="48">
        <f t="shared" si="63"/>
        <v>0.30263918320169525</v>
      </c>
      <c r="CJ38" s="48">
        <f t="shared" si="63"/>
        <v>0.21606505737520493</v>
      </c>
      <c r="CK38" s="48">
        <f t="shared" si="63"/>
        <v>0.25509187125391281</v>
      </c>
      <c r="CL38" s="48">
        <f t="shared" si="63"/>
        <v>0.27986973336047222</v>
      </c>
      <c r="CM38" s="72">
        <f t="shared" si="63"/>
        <v>0.31570602141872095</v>
      </c>
      <c r="CN38" s="72">
        <f t="shared" ref="CN38:CV38" si="64">CN27/CN18</f>
        <v>0.35070452109565053</v>
      </c>
      <c r="CO38" s="72">
        <f t="shared" si="64"/>
        <v>0.40476323818071486</v>
      </c>
      <c r="CP38" s="72">
        <f t="shared" si="64"/>
        <v>0.45929651655425729</v>
      </c>
      <c r="CQ38" s="72">
        <f t="shared" si="64"/>
        <v>0.51957602295095684</v>
      </c>
      <c r="CR38" s="72">
        <f t="shared" si="64"/>
        <v>0.5861668244261875</v>
      </c>
      <c r="CS38" s="72">
        <f t="shared" si="64"/>
        <v>0.66395499508322897</v>
      </c>
      <c r="CT38" s="72">
        <f t="shared" si="64"/>
        <v>0.75187216424468606</v>
      </c>
      <c r="CU38" s="72">
        <f t="shared" si="64"/>
        <v>0.86095338118384346</v>
      </c>
      <c r="CV38" s="72">
        <f t="shared" si="64"/>
        <v>0.98150670744245161</v>
      </c>
    </row>
    <row r="39" spans="2:102">
      <c r="BT39" s="1"/>
      <c r="BU39" s="1"/>
    </row>
    <row r="40" spans="2:102">
      <c r="B40" s="1" t="s">
        <v>132</v>
      </c>
      <c r="AY40" s="47"/>
      <c r="AZ40" s="47"/>
      <c r="BA40" s="47"/>
      <c r="BB40" s="47"/>
      <c r="BC40" s="47">
        <v>1401.8</v>
      </c>
      <c r="BD40" s="47">
        <v>1615.5</v>
      </c>
      <c r="BE40" s="47">
        <v>1346.7</v>
      </c>
      <c r="BF40" s="47">
        <v>1290.9000000000001</v>
      </c>
      <c r="BG40" s="47">
        <v>1103.0999999999999</v>
      </c>
      <c r="BH40" s="47">
        <v>1536.1</v>
      </c>
      <c r="BI40" s="47">
        <v>1538</v>
      </c>
      <c r="BJ40" s="47">
        <v>1581.2</v>
      </c>
      <c r="BK40" s="47">
        <v>2143</v>
      </c>
      <c r="BL40" s="47">
        <v>3435.4</v>
      </c>
      <c r="BM40" s="47">
        <v>3602</v>
      </c>
      <c r="BN40" s="47">
        <v>2750.1</v>
      </c>
      <c r="BO40" s="47">
        <v>2839.5</v>
      </c>
      <c r="BP40" s="47">
        <v>3036.7</v>
      </c>
      <c r="BQ40" s="47">
        <v>2413.3000000000002</v>
      </c>
      <c r="BR40" s="47">
        <v>2027.4</v>
      </c>
      <c r="BS40" s="47">
        <v>2573.8000000000002</v>
      </c>
      <c r="BT40" s="47">
        <v>3403.1</v>
      </c>
      <c r="BU40" s="47">
        <v>2806.6</v>
      </c>
      <c r="CI40" s="47">
        <f t="shared" ref="CI40:CI49" si="65">BF40</f>
        <v>1290.9000000000001</v>
      </c>
      <c r="CJ40" s="47">
        <f t="shared" ref="CJ40:CJ49" si="66">BJ40</f>
        <v>1581.2</v>
      </c>
      <c r="CK40" s="47">
        <f t="shared" ref="CK40:CK49" si="67">BN40</f>
        <v>2750.1</v>
      </c>
      <c r="CL40" s="47">
        <f t="shared" ref="CL40:CL49" si="68">BR40</f>
        <v>2027.4</v>
      </c>
      <c r="CM40" s="74">
        <f>CL40+CM27</f>
        <v>5209.94211</v>
      </c>
      <c r="CN40" s="74">
        <f t="shared" ref="CN40:CV40" si="69">CM40+CN27</f>
        <v>9370.5576011159992</v>
      </c>
      <c r="CO40" s="74">
        <f t="shared" si="69"/>
        <v>14949.680124419598</v>
      </c>
      <c r="CP40" s="74">
        <f t="shared" si="69"/>
        <v>22268.457630109413</v>
      </c>
      <c r="CQ40" s="74">
        <f t="shared" si="69"/>
        <v>31788.056153287325</v>
      </c>
      <c r="CR40" s="74">
        <f t="shared" si="69"/>
        <v>44004.128881669807</v>
      </c>
      <c r="CS40" s="74">
        <f t="shared" si="69"/>
        <v>59437.078082480752</v>
      </c>
      <c r="CT40" s="74">
        <f t="shared" si="69"/>
        <v>78754.427505340733</v>
      </c>
      <c r="CU40" s="74">
        <f t="shared" si="69"/>
        <v>102748.62210855055</v>
      </c>
      <c r="CV40" s="74">
        <f t="shared" si="69"/>
        <v>131981.52044000605</v>
      </c>
    </row>
    <row r="41" spans="2:102">
      <c r="B41" s="1" t="s">
        <v>133</v>
      </c>
      <c r="AY41" s="47"/>
      <c r="AZ41" s="47"/>
      <c r="BA41" s="47"/>
      <c r="BB41" s="47"/>
      <c r="BC41" s="47">
        <v>3155.7</v>
      </c>
      <c r="BD41" s="47">
        <v>2823.7</v>
      </c>
      <c r="BE41" s="47">
        <v>2741.5</v>
      </c>
      <c r="BF41" s="47">
        <v>2913</v>
      </c>
      <c r="BG41" s="47">
        <v>2882.5</v>
      </c>
      <c r="BH41" s="47">
        <v>2901.3</v>
      </c>
      <c r="BI41" s="47">
        <v>2775.9</v>
      </c>
      <c r="BJ41" s="47">
        <v>2536.6999999999998</v>
      </c>
      <c r="BK41" s="47">
        <v>2549.1999999999998</v>
      </c>
      <c r="BL41" s="47">
        <v>2363.8000000000002</v>
      </c>
      <c r="BM41" s="47">
        <v>2873.7</v>
      </c>
      <c r="BN41" s="47">
        <v>2473.1</v>
      </c>
      <c r="BO41" s="47">
        <v>1960.6</v>
      </c>
      <c r="BP41" s="47">
        <v>1720.5</v>
      </c>
      <c r="BQ41" s="47">
        <v>1818.4</v>
      </c>
      <c r="BR41" s="47">
        <v>1985.9</v>
      </c>
      <c r="BS41" s="47">
        <v>1937.5</v>
      </c>
      <c r="BT41" s="47">
        <v>1923.4</v>
      </c>
      <c r="BU41" s="47">
        <v>2102.1999999999998</v>
      </c>
      <c r="CI41" s="47">
        <f t="shared" si="65"/>
        <v>2913</v>
      </c>
      <c r="CJ41" s="47">
        <f t="shared" si="66"/>
        <v>2536.6999999999998</v>
      </c>
      <c r="CK41" s="47">
        <f t="shared" si="67"/>
        <v>2473.1</v>
      </c>
      <c r="CL41" s="47">
        <f t="shared" si="68"/>
        <v>1985.9</v>
      </c>
    </row>
    <row r="42" spans="2:102">
      <c r="B42" s="1" t="s">
        <v>1467</v>
      </c>
      <c r="AY42" s="47"/>
      <c r="AZ42" s="47"/>
      <c r="BA42" s="47"/>
      <c r="BB42" s="47"/>
      <c r="BC42" s="47">
        <v>654.29999999999995</v>
      </c>
      <c r="BD42" s="47">
        <v>699.9</v>
      </c>
      <c r="BE42" s="47">
        <v>695</v>
      </c>
      <c r="BF42" s="47">
        <v>782.7</v>
      </c>
      <c r="BG42" s="47">
        <v>906.1</v>
      </c>
      <c r="BH42" s="47">
        <v>838.5</v>
      </c>
      <c r="BI42" s="47">
        <v>849.6</v>
      </c>
      <c r="BJ42" s="47">
        <v>942.1</v>
      </c>
      <c r="BK42" s="47">
        <v>925.3</v>
      </c>
      <c r="BL42" s="47">
        <v>904.2</v>
      </c>
      <c r="BM42" s="47">
        <v>962.7</v>
      </c>
      <c r="BN42" s="47">
        <v>1130</v>
      </c>
      <c r="BO42" s="47">
        <v>1127.9000000000001</v>
      </c>
      <c r="BP42" s="47">
        <v>1109.0999999999999</v>
      </c>
      <c r="BQ42" s="47">
        <v>1153</v>
      </c>
      <c r="BR42" s="47">
        <v>1225.4000000000001</v>
      </c>
      <c r="BS42" s="47">
        <v>1221.5</v>
      </c>
      <c r="BT42" s="47">
        <v>1269.2</v>
      </c>
      <c r="BU42" s="47">
        <v>1259.7</v>
      </c>
      <c r="CI42" s="47">
        <f t="shared" si="65"/>
        <v>782.7</v>
      </c>
      <c r="CJ42" s="47">
        <f t="shared" si="66"/>
        <v>942.1</v>
      </c>
      <c r="CK42" s="47">
        <f t="shared" si="67"/>
        <v>1130</v>
      </c>
      <c r="CL42" s="47">
        <f t="shared" si="68"/>
        <v>1225.4000000000001</v>
      </c>
      <c r="CN42" s="59" t="s">
        <v>1494</v>
      </c>
      <c r="CO42" s="60"/>
      <c r="CP42" s="60"/>
      <c r="CQ42" s="59" t="s">
        <v>1495</v>
      </c>
      <c r="CR42" s="60"/>
      <c r="CS42" s="61" t="s">
        <v>1496</v>
      </c>
      <c r="CT42" s="60"/>
      <c r="CU42" s="62" t="s">
        <v>1497</v>
      </c>
      <c r="CV42" s="63">
        <v>0.23</v>
      </c>
      <c r="CW42" s="60"/>
      <c r="CX42" s="60"/>
    </row>
    <row r="43" spans="2:102" ht="14.25" customHeight="1">
      <c r="B43" s="1" t="s">
        <v>1468</v>
      </c>
      <c r="AY43" s="47"/>
      <c r="AZ43" s="47"/>
      <c r="BA43" s="47"/>
      <c r="BB43" s="47"/>
      <c r="BC43" s="47">
        <v>576.79999999999995</v>
      </c>
      <c r="BD43" s="47">
        <v>569.70000000000005</v>
      </c>
      <c r="BE43" s="47">
        <v>584.9</v>
      </c>
      <c r="BF43" s="47">
        <v>587.1</v>
      </c>
      <c r="BG43" s="47">
        <v>653</v>
      </c>
      <c r="BH43" s="47">
        <v>724</v>
      </c>
      <c r="BI43" s="47">
        <v>837.1</v>
      </c>
      <c r="BJ43" s="47">
        <v>893.2</v>
      </c>
      <c r="BK43" s="47">
        <v>946.6</v>
      </c>
      <c r="BL43" s="47">
        <v>1005.2</v>
      </c>
      <c r="BM43" s="47">
        <v>1147.5</v>
      </c>
      <c r="BN43" s="47">
        <v>1220.5999999999999</v>
      </c>
      <c r="BO43" s="47">
        <v>1299.3</v>
      </c>
      <c r="BP43" s="47">
        <v>1383.9</v>
      </c>
      <c r="BQ43" s="47">
        <v>1481.7</v>
      </c>
      <c r="BR43" s="47">
        <v>1487.2</v>
      </c>
      <c r="BS43" s="47">
        <v>1553.6</v>
      </c>
      <c r="BT43" s="47">
        <v>1667</v>
      </c>
      <c r="BU43" s="47">
        <v>1781.9</v>
      </c>
      <c r="CI43" s="47">
        <f t="shared" si="65"/>
        <v>587.1</v>
      </c>
      <c r="CJ43" s="47">
        <f t="shared" si="66"/>
        <v>893.2</v>
      </c>
      <c r="CK43" s="47">
        <f t="shared" si="67"/>
        <v>1220.5999999999999</v>
      </c>
      <c r="CL43" s="47">
        <f t="shared" si="68"/>
        <v>1487.2</v>
      </c>
      <c r="CN43" s="60">
        <v>2025</v>
      </c>
      <c r="CO43" s="60"/>
      <c r="CP43" s="60">
        <v>2023</v>
      </c>
      <c r="CQ43" s="60">
        <v>2024</v>
      </c>
      <c r="CR43" s="60"/>
      <c r="CS43" s="61" t="s">
        <v>1498</v>
      </c>
      <c r="CT43" s="60"/>
      <c r="CU43" s="62" t="s">
        <v>1499</v>
      </c>
      <c r="CV43" s="63">
        <v>2.5000000000000001E-2</v>
      </c>
      <c r="CW43" s="60"/>
      <c r="CX43" s="60"/>
    </row>
    <row r="44" spans="2:102" ht="14.25" customHeight="1">
      <c r="B44" s="1" t="s">
        <v>1469</v>
      </c>
      <c r="AY44" s="47"/>
      <c r="AZ44" s="47"/>
      <c r="BA44" s="47"/>
      <c r="BB44" s="47"/>
      <c r="BC44" s="47">
        <v>277.8</v>
      </c>
      <c r="BD44" s="47">
        <v>307.8</v>
      </c>
      <c r="BE44" s="47">
        <v>359.9</v>
      </c>
      <c r="BF44" s="47">
        <v>271</v>
      </c>
      <c r="BG44" s="47">
        <v>258.5</v>
      </c>
      <c r="BH44" s="47">
        <v>292.60000000000002</v>
      </c>
      <c r="BI44" s="47">
        <v>292.5</v>
      </c>
      <c r="BJ44" s="47">
        <v>299.8</v>
      </c>
      <c r="BK44" s="47">
        <v>312.89999999999998</v>
      </c>
      <c r="BL44" s="47">
        <v>323.2</v>
      </c>
      <c r="BM44" s="47">
        <v>317</v>
      </c>
      <c r="BN44" s="47">
        <v>314</v>
      </c>
      <c r="BO44" s="47">
        <v>405.4</v>
      </c>
      <c r="BP44" s="47">
        <v>404.1</v>
      </c>
      <c r="BQ44" s="47">
        <v>349.2</v>
      </c>
      <c r="BR44" s="47">
        <v>385.1</v>
      </c>
      <c r="BS44" s="47">
        <v>371.4</v>
      </c>
      <c r="BT44" s="47">
        <v>483.2</v>
      </c>
      <c r="BU44" s="47">
        <v>574.9</v>
      </c>
      <c r="CI44" s="47">
        <f t="shared" si="65"/>
        <v>271</v>
      </c>
      <c r="CJ44" s="47">
        <f t="shared" si="66"/>
        <v>299.8</v>
      </c>
      <c r="CK44" s="47">
        <f t="shared" si="67"/>
        <v>314</v>
      </c>
      <c r="CL44" s="47">
        <f t="shared" si="68"/>
        <v>385.1</v>
      </c>
      <c r="CN44" s="64">
        <f>AVERAGE(CM23)*(1-CM37)</f>
        <v>2772.1963500000002</v>
      </c>
      <c r="CO44" s="60"/>
      <c r="CP44" s="65">
        <f>SUM(CK40:CK43)-CK51+CK45+CK48</f>
        <v>11908.099999999999</v>
      </c>
      <c r="CQ44" s="65">
        <f>SUM(CL40:CL43)-CL51+CL45+CL48</f>
        <v>12300.500000000002</v>
      </c>
      <c r="CR44" s="60"/>
      <c r="CS44" s="65">
        <f>AVERAGE(CP44:CQ44)</f>
        <v>12104.3</v>
      </c>
      <c r="CT44" s="60"/>
      <c r="CU44" s="62" t="s">
        <v>1500</v>
      </c>
      <c r="CV44" s="63">
        <v>4.1099999999999998E-2</v>
      </c>
      <c r="CW44" s="60"/>
      <c r="CX44" s="60"/>
    </row>
    <row r="45" spans="2:102" ht="14.25" customHeight="1">
      <c r="B45" s="1" t="s">
        <v>1470</v>
      </c>
      <c r="AY45" s="47"/>
      <c r="AZ45" s="47"/>
      <c r="BA45" s="47"/>
      <c r="BB45" s="47"/>
      <c r="BC45" s="47">
        <v>1592.9</v>
      </c>
      <c r="BD45" s="47">
        <v>1651.2</v>
      </c>
      <c r="BE45" s="47">
        <v>1737.9</v>
      </c>
      <c r="BF45" s="47">
        <v>1876.4</v>
      </c>
      <c r="BG45" s="47">
        <v>1968</v>
      </c>
      <c r="BH45" s="47">
        <v>2109.3000000000002</v>
      </c>
      <c r="BI45" s="47">
        <v>2243.6999999999998</v>
      </c>
      <c r="BJ45" s="47">
        <v>2374.1999999999998</v>
      </c>
      <c r="BK45" s="47">
        <v>2580.1999999999998</v>
      </c>
      <c r="BL45" s="47">
        <v>2830.8</v>
      </c>
      <c r="BM45" s="47">
        <v>3077</v>
      </c>
      <c r="BN45" s="47">
        <v>3537.6</v>
      </c>
      <c r="BO45" s="47">
        <v>3799.6</v>
      </c>
      <c r="BP45" s="47">
        <v>4116.8</v>
      </c>
      <c r="BQ45" s="47">
        <v>4433</v>
      </c>
      <c r="BR45" s="47">
        <v>4646.6000000000004</v>
      </c>
      <c r="BS45" s="1">
        <v>4799</v>
      </c>
      <c r="BT45" s="47">
        <v>4985.3</v>
      </c>
      <c r="BU45" s="47">
        <v>5150.8999999999996</v>
      </c>
      <c r="CI45" s="47">
        <f t="shared" si="65"/>
        <v>1876.4</v>
      </c>
      <c r="CJ45" s="47">
        <f t="shared" si="66"/>
        <v>2374.1999999999998</v>
      </c>
      <c r="CK45" s="47">
        <f t="shared" si="67"/>
        <v>3537.6</v>
      </c>
      <c r="CL45" s="47">
        <f t="shared" si="68"/>
        <v>4646.6000000000004</v>
      </c>
      <c r="CN45" s="66">
        <f>CN44/CS44</f>
        <v>0.22902574704856954</v>
      </c>
      <c r="CO45" s="60"/>
      <c r="CP45" s="60"/>
      <c r="CQ45" s="60"/>
      <c r="CR45" s="60"/>
      <c r="CS45" s="60"/>
      <c r="CT45" s="60"/>
      <c r="CU45" s="62" t="s">
        <v>1501</v>
      </c>
      <c r="CV45" s="63">
        <f>7.75%-CV44</f>
        <v>3.6400000000000002E-2</v>
      </c>
      <c r="CW45" s="60"/>
      <c r="CX45" s="60"/>
    </row>
    <row r="46" spans="2:102" ht="14.25" customHeight="1">
      <c r="B46" s="1" t="s">
        <v>1471</v>
      </c>
      <c r="AY46" s="47"/>
      <c r="AZ46" s="47"/>
      <c r="BA46" s="47"/>
      <c r="BB46" s="47"/>
      <c r="BC46" s="47">
        <v>2673</v>
      </c>
      <c r="BD46" s="47">
        <v>3295.6</v>
      </c>
      <c r="BE46" s="47">
        <v>4131.5</v>
      </c>
      <c r="BF46" s="47">
        <v>4415.5</v>
      </c>
      <c r="BG46" s="47">
        <v>4416.2</v>
      </c>
      <c r="BH46" s="47">
        <v>3738</v>
      </c>
      <c r="BI46" s="47">
        <v>3078.1</v>
      </c>
      <c r="BJ46" s="47">
        <v>2623.6</v>
      </c>
      <c r="BK46" s="47">
        <v>1886.4</v>
      </c>
      <c r="BL46" s="47">
        <v>1332.5</v>
      </c>
      <c r="BM46" s="47">
        <v>1044.9000000000001</v>
      </c>
      <c r="BN46" s="47">
        <v>2120</v>
      </c>
      <c r="BO46" s="47">
        <v>2522.6</v>
      </c>
      <c r="BP46" s="47">
        <v>2925.9</v>
      </c>
      <c r="BQ46" s="47">
        <v>4079.8</v>
      </c>
      <c r="BR46" s="47">
        <v>4819.1000000000004</v>
      </c>
      <c r="BS46" s="47">
        <v>4589.8999999999996</v>
      </c>
      <c r="BT46" s="47">
        <v>4206</v>
      </c>
      <c r="BU46" s="47">
        <v>3523.7</v>
      </c>
      <c r="CI46" s="47">
        <f t="shared" si="65"/>
        <v>4415.5</v>
      </c>
      <c r="CJ46" s="47">
        <f t="shared" si="66"/>
        <v>2623.6</v>
      </c>
      <c r="CK46" s="47">
        <f t="shared" si="67"/>
        <v>2120</v>
      </c>
      <c r="CL46" s="47">
        <f t="shared" si="68"/>
        <v>4819.1000000000004</v>
      </c>
      <c r="CN46" s="60"/>
      <c r="CO46" s="60"/>
      <c r="CP46" s="60"/>
      <c r="CQ46" s="60"/>
      <c r="CR46" s="60"/>
      <c r="CS46" s="60"/>
      <c r="CT46" s="60"/>
      <c r="CU46" s="62" t="s">
        <v>1502</v>
      </c>
      <c r="CV46" s="60">
        <f>'Notes | Quant Analysis'!K183</f>
        <v>1.68</v>
      </c>
      <c r="CW46" s="60"/>
      <c r="CX46" s="60"/>
    </row>
    <row r="47" spans="2:102" ht="14.25" customHeight="1">
      <c r="B47" s="1" t="s">
        <v>1472</v>
      </c>
      <c r="AY47" s="47"/>
      <c r="AZ47" s="47"/>
      <c r="BA47" s="47"/>
      <c r="BB47" s="47"/>
      <c r="BC47" s="47">
        <v>336.6</v>
      </c>
      <c r="BD47" s="47">
        <v>394.4</v>
      </c>
      <c r="BE47" s="47">
        <v>411.5</v>
      </c>
      <c r="BF47" s="47">
        <v>441.4</v>
      </c>
      <c r="BG47" s="47">
        <v>485</v>
      </c>
      <c r="BH47" s="47">
        <v>515.9</v>
      </c>
      <c r="BI47" s="47">
        <v>587.4</v>
      </c>
      <c r="BJ47" s="47">
        <v>664.6</v>
      </c>
      <c r="BK47" s="47">
        <v>644.70000000000005</v>
      </c>
      <c r="BL47" s="47">
        <v>666.5</v>
      </c>
      <c r="BM47" s="47">
        <v>701.4</v>
      </c>
      <c r="BN47" s="47">
        <v>910.5</v>
      </c>
      <c r="BO47" s="47">
        <v>917.8</v>
      </c>
      <c r="BP47" s="47">
        <v>946.9</v>
      </c>
      <c r="BQ47" s="47">
        <v>997</v>
      </c>
      <c r="BR47" s="47">
        <v>1045.0999999999999</v>
      </c>
      <c r="BS47" s="47">
        <v>1038.5999999999999</v>
      </c>
      <c r="BT47" s="47">
        <v>1070.3</v>
      </c>
      <c r="BU47" s="47">
        <v>978.9</v>
      </c>
      <c r="CI47" s="47">
        <f t="shared" si="65"/>
        <v>441.4</v>
      </c>
      <c r="CJ47" s="47">
        <f t="shared" si="66"/>
        <v>664.6</v>
      </c>
      <c r="CK47" s="47">
        <f t="shared" si="67"/>
        <v>910.5</v>
      </c>
      <c r="CL47" s="47">
        <f t="shared" si="68"/>
        <v>1045.0999999999999</v>
      </c>
      <c r="CN47" s="60"/>
      <c r="CO47" s="60"/>
      <c r="CP47" s="60"/>
      <c r="CQ47" s="60"/>
      <c r="CR47" s="60"/>
      <c r="CS47" s="60"/>
      <c r="CT47" s="60"/>
      <c r="CU47" s="62" t="s">
        <v>1503</v>
      </c>
      <c r="CV47" s="63">
        <f>+CV44+(CV45*CV46)</f>
        <v>0.102252</v>
      </c>
      <c r="CW47" s="60"/>
      <c r="CX47" s="60"/>
    </row>
    <row r="48" spans="2:102" ht="14.25" customHeight="1">
      <c r="B48" s="1" t="s">
        <v>1473</v>
      </c>
      <c r="AY48" s="47"/>
      <c r="AZ48" s="47"/>
      <c r="BA48" s="47"/>
      <c r="BB48" s="47"/>
      <c r="BC48" s="47">
        <f>527+344.5</f>
        <v>871.5</v>
      </c>
      <c r="BD48" s="47">
        <f>594.9+344.3</f>
        <v>939.2</v>
      </c>
      <c r="BE48" s="47">
        <f>581.4+344.3</f>
        <v>925.7</v>
      </c>
      <c r="BF48" s="47">
        <f>633+343.6</f>
        <v>976.6</v>
      </c>
      <c r="BG48" s="47">
        <f>662+343</f>
        <v>1005</v>
      </c>
      <c r="BH48" s="47">
        <f>700+349</f>
        <v>1049</v>
      </c>
      <c r="BI48" s="47">
        <f>710+348</f>
        <v>1058</v>
      </c>
      <c r="BJ48" s="47">
        <f>710.1+348.5</f>
        <v>1058.5999999999999</v>
      </c>
      <c r="BK48" s="47">
        <f>716.3+348.6</f>
        <v>1064.9000000000001</v>
      </c>
      <c r="BL48" s="47">
        <f>693.1+348.6</f>
        <v>1041.7</v>
      </c>
      <c r="BM48" s="47">
        <f>638.4+348.1</f>
        <v>986.5</v>
      </c>
      <c r="BN48" s="47">
        <f>636.7+348.7</f>
        <v>985.40000000000009</v>
      </c>
      <c r="BO48" s="47">
        <f>607.1+348.2</f>
        <v>955.3</v>
      </c>
      <c r="BP48" s="47">
        <f>658+348</f>
        <v>1006</v>
      </c>
      <c r="BQ48" s="47">
        <f>669.7+348.3</f>
        <v>1018</v>
      </c>
      <c r="BR48" s="47">
        <f>773.9+347.5</f>
        <v>1121.4000000000001</v>
      </c>
      <c r="BS48" s="47">
        <f>787.6+347.5</f>
        <v>1135.0999999999999</v>
      </c>
      <c r="BT48" s="47">
        <f>807+348.7</f>
        <v>1155.7</v>
      </c>
      <c r="BU48" s="47">
        <f>824.9+348.1</f>
        <v>1173</v>
      </c>
      <c r="CI48" s="47">
        <f t="shared" si="65"/>
        <v>976.6</v>
      </c>
      <c r="CJ48" s="47">
        <f t="shared" si="66"/>
        <v>1058.5999999999999</v>
      </c>
      <c r="CK48" s="47">
        <f t="shared" si="67"/>
        <v>985.40000000000009</v>
      </c>
      <c r="CL48" s="47">
        <f t="shared" si="68"/>
        <v>1121.4000000000001</v>
      </c>
      <c r="CN48" s="60"/>
      <c r="CO48" s="60"/>
      <c r="CP48" s="60"/>
      <c r="CQ48" s="60"/>
      <c r="CR48" s="60"/>
      <c r="CS48" s="60"/>
      <c r="CT48" s="60"/>
      <c r="CU48" s="62"/>
      <c r="CV48" s="60"/>
      <c r="CW48" s="60"/>
      <c r="CX48" s="60"/>
    </row>
    <row r="49" spans="2:152" s="2" customFormat="1" ht="14.25" customHeight="1">
      <c r="B49" s="2" t="s">
        <v>1474</v>
      </c>
      <c r="AY49" s="50"/>
      <c r="AZ49" s="50"/>
      <c r="BA49" s="50"/>
      <c r="BB49" s="50"/>
      <c r="BC49" s="50">
        <f t="shared" ref="BC49:BT49" si="70">SUM(BC40:BC48)</f>
        <v>11540.400000000001</v>
      </c>
      <c r="BD49" s="50">
        <f t="shared" si="70"/>
        <v>12297</v>
      </c>
      <c r="BE49" s="50">
        <f t="shared" si="70"/>
        <v>12934.6</v>
      </c>
      <c r="BF49" s="50">
        <f t="shared" si="70"/>
        <v>13554.6</v>
      </c>
      <c r="BG49" s="50">
        <f t="shared" si="70"/>
        <v>13677.4</v>
      </c>
      <c r="BH49" s="50">
        <f t="shared" si="70"/>
        <v>13704.699999999999</v>
      </c>
      <c r="BI49" s="50">
        <f t="shared" si="70"/>
        <v>13260.3</v>
      </c>
      <c r="BJ49" s="50">
        <f t="shared" si="70"/>
        <v>12974.000000000002</v>
      </c>
      <c r="BK49" s="50">
        <f t="shared" si="70"/>
        <v>13053.2</v>
      </c>
      <c r="BL49" s="50">
        <f t="shared" si="70"/>
        <v>13903.300000000001</v>
      </c>
      <c r="BM49" s="50">
        <f t="shared" si="70"/>
        <v>14712.699999999999</v>
      </c>
      <c r="BN49" s="50">
        <f t="shared" si="70"/>
        <v>15441.3</v>
      </c>
      <c r="BO49" s="50">
        <f t="shared" si="70"/>
        <v>15827.999999999998</v>
      </c>
      <c r="BP49" s="50">
        <f t="shared" si="70"/>
        <v>16649.899999999998</v>
      </c>
      <c r="BQ49" s="50">
        <f t="shared" si="70"/>
        <v>17743.400000000001</v>
      </c>
      <c r="BR49" s="50">
        <f t="shared" si="70"/>
        <v>18743.200000000004</v>
      </c>
      <c r="BS49" s="50">
        <f t="shared" si="70"/>
        <v>19220.399999999994</v>
      </c>
      <c r="BT49" s="50">
        <f t="shared" si="70"/>
        <v>20163.2</v>
      </c>
      <c r="BU49" s="50">
        <f t="shared" ref="BU49" si="71">SUM(BU40:BU48)</f>
        <v>19351.8</v>
      </c>
      <c r="BV49" s="34"/>
      <c r="BW49" s="34"/>
      <c r="BX49" s="34"/>
      <c r="BY49" s="34"/>
      <c r="BZ49" s="34"/>
      <c r="CI49" s="50">
        <f t="shared" si="65"/>
        <v>13554.6</v>
      </c>
      <c r="CJ49" s="50">
        <f t="shared" si="66"/>
        <v>12974.000000000002</v>
      </c>
      <c r="CK49" s="50">
        <f t="shared" si="67"/>
        <v>15441.3</v>
      </c>
      <c r="CL49" s="50">
        <f t="shared" si="68"/>
        <v>18743.200000000004</v>
      </c>
      <c r="CM49" s="34"/>
      <c r="CN49" s="60"/>
      <c r="CO49" s="60"/>
      <c r="CP49" s="60"/>
      <c r="CQ49" s="60"/>
      <c r="CR49" s="60"/>
      <c r="CS49" s="60"/>
      <c r="CT49" s="60"/>
      <c r="CU49" s="62" t="s">
        <v>1504</v>
      </c>
      <c r="CV49" s="64">
        <f>NPV(CV47,CM27:ET27)</f>
        <v>208443.8598689932</v>
      </c>
      <c r="CW49" s="60"/>
      <c r="CX49" s="60"/>
      <c r="CY49" s="34"/>
      <c r="CZ49" s="34"/>
      <c r="DA49" s="34"/>
      <c r="DB49" s="34"/>
      <c r="DC49" s="34"/>
      <c r="DD49" s="34"/>
      <c r="DE49" s="34"/>
      <c r="DF49" s="34"/>
      <c r="DG49" s="34"/>
      <c r="DH49" s="34"/>
      <c r="DI49" s="34"/>
      <c r="DJ49" s="34"/>
      <c r="DK49" s="34"/>
      <c r="DL49" s="34"/>
      <c r="DM49" s="34"/>
      <c r="DN49" s="34"/>
      <c r="DO49" s="34"/>
      <c r="DP49" s="34"/>
      <c r="DQ49" s="34"/>
      <c r="DR49" s="34"/>
      <c r="DS49" s="34"/>
      <c r="DT49" s="34"/>
      <c r="DU49" s="34"/>
      <c r="DV49" s="34"/>
      <c r="DW49" s="34"/>
      <c r="DX49" s="34"/>
      <c r="DY49" s="34"/>
      <c r="DZ49" s="34"/>
      <c r="EA49" s="34"/>
      <c r="EB49" s="34"/>
      <c r="EC49" s="34"/>
      <c r="ED49" s="34"/>
      <c r="EE49" s="34"/>
      <c r="EF49" s="34"/>
      <c r="EG49" s="34"/>
      <c r="EH49" s="34"/>
      <c r="EI49" s="34"/>
      <c r="EJ49" s="34"/>
      <c r="EK49" s="34"/>
      <c r="EL49" s="34"/>
      <c r="EM49" s="34"/>
      <c r="EN49" s="34"/>
      <c r="EO49" s="34"/>
      <c r="EP49" s="34"/>
      <c r="EQ49" s="34"/>
      <c r="ER49" s="34"/>
      <c r="ES49" s="34"/>
      <c r="ET49" s="34"/>
      <c r="EU49" s="34"/>
      <c r="EV49" s="34"/>
    </row>
    <row r="50" spans="2:152" ht="14.25" customHeight="1">
      <c r="AY50" s="47"/>
      <c r="AZ50" s="47"/>
      <c r="BA50" s="47"/>
      <c r="BB50" s="47"/>
      <c r="BC50" s="47"/>
      <c r="BD50" s="47"/>
      <c r="BE50" s="47"/>
      <c r="BF50" s="47"/>
      <c r="BG50" s="47"/>
      <c r="BH50" s="47"/>
      <c r="BI50" s="47"/>
      <c r="BJ50" s="47"/>
      <c r="BK50" s="47"/>
      <c r="BL50" s="47"/>
      <c r="BM50" s="47"/>
      <c r="BN50" s="47"/>
      <c r="BO50" s="47"/>
      <c r="BP50" s="47"/>
      <c r="BQ50" s="47"/>
      <c r="BR50" s="47"/>
      <c r="BS50" s="47"/>
      <c r="BT50" s="47"/>
      <c r="BU50" s="47"/>
      <c r="CN50" s="60"/>
      <c r="CO50" s="60"/>
      <c r="CP50" s="60"/>
      <c r="CQ50" s="60"/>
      <c r="CR50" s="60"/>
      <c r="CS50" s="60"/>
      <c r="CT50" s="60"/>
      <c r="CU50" s="62" t="s">
        <v>145</v>
      </c>
      <c r="CV50" s="65">
        <f>Main!C6</f>
        <v>354.49599999999998</v>
      </c>
      <c r="CW50" s="68"/>
      <c r="CX50" s="60"/>
    </row>
    <row r="51" spans="2:152" ht="14.25" customHeight="1">
      <c r="B51" s="1" t="s">
        <v>1475</v>
      </c>
      <c r="AY51" s="47"/>
      <c r="AZ51" s="47"/>
      <c r="BA51" s="47"/>
      <c r="BB51" s="47"/>
      <c r="BC51" s="47">
        <v>103.1</v>
      </c>
      <c r="BD51" s="47">
        <v>117.9</v>
      </c>
      <c r="BE51" s="47">
        <v>120</v>
      </c>
      <c r="BF51" s="47">
        <v>121.2</v>
      </c>
      <c r="BG51" s="47">
        <v>128</v>
      </c>
      <c r="BH51" s="47">
        <v>149.69999999999999</v>
      </c>
      <c r="BI51" s="47">
        <v>164.2</v>
      </c>
      <c r="BJ51" s="47">
        <v>147</v>
      </c>
      <c r="BK51" s="47">
        <v>164.1</v>
      </c>
      <c r="BL51" s="47">
        <v>199.7</v>
      </c>
      <c r="BM51" s="47">
        <v>196.2</v>
      </c>
      <c r="BN51" s="47">
        <v>188.7</v>
      </c>
      <c r="BO51" s="47">
        <v>194.4</v>
      </c>
      <c r="BP51" s="47">
        <v>194.4</v>
      </c>
      <c r="BQ51" s="47">
        <v>218.7</v>
      </c>
      <c r="BR51" s="47">
        <v>193.4</v>
      </c>
      <c r="BS51" s="47">
        <v>276.2</v>
      </c>
      <c r="BT51" s="47">
        <v>266.8</v>
      </c>
      <c r="BU51" s="47">
        <v>291.2</v>
      </c>
      <c r="CI51" s="47">
        <f t="shared" ref="CI51:CI58" si="72">BF51</f>
        <v>121.2</v>
      </c>
      <c r="CJ51" s="47">
        <f t="shared" ref="CJ51:CJ58" si="73">BJ51</f>
        <v>147</v>
      </c>
      <c r="CK51" s="47">
        <f t="shared" ref="CK51:CK58" si="74">BN51</f>
        <v>188.7</v>
      </c>
      <c r="CL51" s="47">
        <f t="shared" ref="CL51:CL58" si="75">BR51</f>
        <v>193.4</v>
      </c>
      <c r="CN51" s="60"/>
      <c r="CO51" s="60"/>
      <c r="CP51" s="60"/>
      <c r="CQ51" s="60"/>
      <c r="CR51" s="60"/>
      <c r="CS51" s="60"/>
      <c r="CT51" s="60"/>
      <c r="CU51" s="62" t="s">
        <v>1505</v>
      </c>
      <c r="CV51" s="67">
        <f>CV49/CV50</f>
        <v>588.00059766257789</v>
      </c>
      <c r="CW51" s="69"/>
      <c r="CX51" s="60"/>
    </row>
    <row r="52" spans="2:152" ht="14.25" customHeight="1">
      <c r="B52" s="1" t="s">
        <v>1476</v>
      </c>
      <c r="AY52" s="47"/>
      <c r="AZ52" s="47"/>
      <c r="BA52" s="47"/>
      <c r="BB52" s="47"/>
      <c r="BC52" s="47">
        <v>194.8</v>
      </c>
      <c r="BD52" s="47">
        <v>254</v>
      </c>
      <c r="BE52" s="47">
        <v>265</v>
      </c>
      <c r="BF52" s="47">
        <v>350</v>
      </c>
      <c r="BG52" s="47">
        <v>219.8</v>
      </c>
      <c r="BH52" s="47">
        <v>278.60000000000002</v>
      </c>
      <c r="BI52" s="47">
        <v>308</v>
      </c>
      <c r="BJ52" s="47">
        <v>401.6</v>
      </c>
      <c r="BK52" s="47">
        <v>260.89999999999998</v>
      </c>
      <c r="BL52" s="47">
        <v>346.6</v>
      </c>
      <c r="BM52" s="47">
        <v>374.8</v>
      </c>
      <c r="BN52" s="47">
        <v>436.4</v>
      </c>
      <c r="BO52" s="47">
        <v>238.4</v>
      </c>
      <c r="BP52" s="47">
        <v>321.3</v>
      </c>
      <c r="BQ52" s="47">
        <v>377.5</v>
      </c>
      <c r="BR52" s="47">
        <v>535.6</v>
      </c>
      <c r="BS52" s="47">
        <v>309.7</v>
      </c>
      <c r="BT52" s="47">
        <v>420.8</v>
      </c>
      <c r="BU52" s="47">
        <v>455.5</v>
      </c>
      <c r="CI52" s="47">
        <f t="shared" si="72"/>
        <v>350</v>
      </c>
      <c r="CJ52" s="47">
        <f t="shared" si="73"/>
        <v>401.6</v>
      </c>
      <c r="CK52" s="47">
        <f t="shared" si="74"/>
        <v>436.4</v>
      </c>
      <c r="CL52" s="47">
        <f t="shared" si="75"/>
        <v>535.6</v>
      </c>
      <c r="CN52" s="71"/>
      <c r="CO52" s="71"/>
      <c r="CP52" s="71"/>
      <c r="CQ52" s="71"/>
      <c r="CR52" s="71"/>
      <c r="CS52" s="71"/>
      <c r="CT52" s="71"/>
      <c r="CU52" s="62" t="s">
        <v>1506</v>
      </c>
      <c r="CV52" s="67">
        <f>Main!C5</f>
        <v>587.88</v>
      </c>
      <c r="CW52" s="70"/>
      <c r="CX52" s="71"/>
    </row>
    <row r="53" spans="2:152" ht="14.25" customHeight="1">
      <c r="B53" s="1" t="s">
        <v>1477</v>
      </c>
      <c r="AY53" s="47"/>
      <c r="AZ53" s="47"/>
      <c r="BA53" s="47"/>
      <c r="BB53" s="47"/>
      <c r="BC53" s="47">
        <v>358.1</v>
      </c>
      <c r="BD53" s="47">
        <v>360</v>
      </c>
      <c r="BE53" s="47">
        <v>348.5</v>
      </c>
      <c r="BF53" s="47">
        <v>377.2</v>
      </c>
      <c r="BG53" s="47">
        <v>386</v>
      </c>
      <c r="BH53" s="47">
        <v>376.3</v>
      </c>
      <c r="BI53" s="47">
        <v>358.9</v>
      </c>
      <c r="BJ53" s="47">
        <v>397.3</v>
      </c>
      <c r="BK53" s="47">
        <v>417.8</v>
      </c>
      <c r="BL53" s="47">
        <v>405.2</v>
      </c>
      <c r="BM53" s="47">
        <v>394.8</v>
      </c>
      <c r="BN53" s="47">
        <v>446.1</v>
      </c>
      <c r="BO53" s="47">
        <v>437.5</v>
      </c>
      <c r="BP53" s="47">
        <v>433.9</v>
      </c>
      <c r="BQ53" s="47">
        <v>426</v>
      </c>
      <c r="BR53" s="47">
        <v>468.8</v>
      </c>
      <c r="BS53" s="47">
        <v>496.3</v>
      </c>
      <c r="BT53" s="47">
        <v>499.9</v>
      </c>
      <c r="BU53" s="47">
        <v>491.1</v>
      </c>
      <c r="CI53" s="47">
        <f t="shared" si="72"/>
        <v>377.2</v>
      </c>
      <c r="CJ53" s="47">
        <f t="shared" si="73"/>
        <v>397.3</v>
      </c>
      <c r="CK53" s="47">
        <f t="shared" si="74"/>
        <v>446.1</v>
      </c>
      <c r="CL53" s="47">
        <f t="shared" si="75"/>
        <v>468.8</v>
      </c>
      <c r="CN53" s="60"/>
      <c r="CO53" s="60"/>
      <c r="CP53" s="60"/>
      <c r="CQ53" s="60"/>
      <c r="CR53" s="60"/>
      <c r="CS53" s="60"/>
      <c r="CT53" s="60"/>
      <c r="CU53" s="62" t="s">
        <v>1507</v>
      </c>
      <c r="CV53" s="63">
        <f>CV51/CV52-1</f>
        <v>2.0513993090065519E-4</v>
      </c>
      <c r="CW53" s="69" t="str">
        <f>IF(CV53&gt;0,"Upside","Downside")</f>
        <v>Upside</v>
      </c>
      <c r="CX53" s="60"/>
    </row>
    <row r="54" spans="2:152" ht="14.25" customHeight="1">
      <c r="B54" s="1" t="s">
        <v>1478</v>
      </c>
      <c r="AY54" s="47"/>
      <c r="AZ54" s="47"/>
      <c r="BA54" s="47"/>
      <c r="BB54" s="47"/>
      <c r="BC54" s="47">
        <v>248.6</v>
      </c>
      <c r="BD54" s="47">
        <v>272.7</v>
      </c>
      <c r="BE54" s="47">
        <v>293.5</v>
      </c>
      <c r="BF54" s="47">
        <v>301</v>
      </c>
      <c r="BG54" s="47">
        <v>378.3</v>
      </c>
      <c r="BH54" s="47">
        <v>370.4</v>
      </c>
      <c r="BI54" s="47">
        <v>402.1</v>
      </c>
      <c r="BJ54" s="47">
        <v>476.2</v>
      </c>
      <c r="BK54" s="47">
        <v>464.6</v>
      </c>
      <c r="BL54" s="47">
        <v>586.9</v>
      </c>
      <c r="BM54" s="47">
        <v>710.6</v>
      </c>
      <c r="BN54" s="47">
        <v>587.5</v>
      </c>
      <c r="BO54" s="47">
        <v>504.8</v>
      </c>
      <c r="BP54" s="47">
        <v>537.9</v>
      </c>
      <c r="BQ54" s="47">
        <v>654.6</v>
      </c>
      <c r="BR54" s="47">
        <v>547.5</v>
      </c>
      <c r="BS54" s="47">
        <v>455.9</v>
      </c>
      <c r="BT54" s="47">
        <v>505.1</v>
      </c>
      <c r="BU54" s="47">
        <v>565.4</v>
      </c>
      <c r="CI54" s="47">
        <f t="shared" si="72"/>
        <v>301</v>
      </c>
      <c r="CJ54" s="47">
        <f t="shared" si="73"/>
        <v>476.2</v>
      </c>
      <c r="CK54" s="47">
        <f t="shared" si="74"/>
        <v>587.5</v>
      </c>
      <c r="CL54" s="47">
        <f t="shared" si="75"/>
        <v>547.5</v>
      </c>
      <c r="CN54" s="60"/>
      <c r="CO54" s="60"/>
      <c r="CP54" s="60"/>
      <c r="CQ54" s="60"/>
      <c r="CR54" s="60"/>
      <c r="CS54" s="60"/>
      <c r="CT54" s="60"/>
      <c r="CU54" s="78" t="str" cm="1">
        <f t="array" ref="CU54">_xlfn.IFS(CV53&gt;=25%,"Strong Buy",CV53&gt;=10.00001%,"Buy",AND(CV53&lt;=10%,CV53&gt;=-4.9999%),"Hold",AND(CV53&lt;=-5%,CV53&gt;=-14.999999%),"Sell",CV53&lt;=-15%,"Strong Sell")</f>
        <v>Hold</v>
      </c>
      <c r="CV54" s="78"/>
      <c r="CW54" s="65"/>
      <c r="CX54" s="60"/>
    </row>
    <row r="55" spans="2:152" ht="14.25" customHeight="1">
      <c r="B55" s="1" t="s">
        <v>1479</v>
      </c>
      <c r="AY55" s="47"/>
      <c r="AZ55" s="47"/>
      <c r="BA55" s="47"/>
      <c r="BB55" s="47"/>
      <c r="BC55" s="47">
        <v>445.6</v>
      </c>
      <c r="BD55" s="47">
        <v>412.9</v>
      </c>
      <c r="BE55" s="47">
        <v>447.8</v>
      </c>
      <c r="BF55" s="47">
        <v>453.7</v>
      </c>
      <c r="BG55" s="47">
        <v>409.3</v>
      </c>
      <c r="BH55" s="47">
        <v>447.8</v>
      </c>
      <c r="BI55" s="47">
        <v>453.4</v>
      </c>
      <c r="BJ55" s="47">
        <v>439.3</v>
      </c>
      <c r="BK55" s="47">
        <v>451.6</v>
      </c>
      <c r="BL55" s="47">
        <v>405.2</v>
      </c>
      <c r="BM55" s="47">
        <v>412.8</v>
      </c>
      <c r="BN55" s="47">
        <v>385.5</v>
      </c>
      <c r="BO55" s="47">
        <v>406.5</v>
      </c>
      <c r="BP55" s="47">
        <v>365.9</v>
      </c>
      <c r="BQ55" s="47">
        <v>389.1</v>
      </c>
      <c r="BR55" s="47">
        <v>468.3</v>
      </c>
      <c r="BS55" s="47">
        <v>474.6</v>
      </c>
      <c r="BT55" s="47">
        <v>517.5</v>
      </c>
      <c r="BU55" s="47">
        <v>506.5</v>
      </c>
      <c r="CI55" s="47">
        <f t="shared" si="72"/>
        <v>453.7</v>
      </c>
      <c r="CJ55" s="47">
        <f t="shared" si="73"/>
        <v>439.3</v>
      </c>
      <c r="CK55" s="47">
        <f t="shared" si="74"/>
        <v>385.5</v>
      </c>
      <c r="CL55" s="47">
        <f t="shared" si="75"/>
        <v>468.3</v>
      </c>
    </row>
    <row r="56" spans="2:152" s="2" customFormat="1" ht="14.25" customHeight="1">
      <c r="B56" s="2" t="s">
        <v>1480</v>
      </c>
      <c r="AY56" s="50"/>
      <c r="AZ56" s="50"/>
      <c r="BA56" s="50"/>
      <c r="BB56" s="50"/>
      <c r="BC56" s="50">
        <f t="shared" ref="BC56:BR56" si="76">SUM(BC51:BC55)</f>
        <v>1350.2</v>
      </c>
      <c r="BD56" s="50">
        <f t="shared" si="76"/>
        <v>1417.5</v>
      </c>
      <c r="BE56" s="50">
        <f t="shared" si="76"/>
        <v>1474.8</v>
      </c>
      <c r="BF56" s="50">
        <f t="shared" si="76"/>
        <v>1603.1000000000001</v>
      </c>
      <c r="BG56" s="50">
        <f t="shared" si="76"/>
        <v>1521.3999999999999</v>
      </c>
      <c r="BH56" s="50">
        <f t="shared" si="76"/>
        <v>1622.8</v>
      </c>
      <c r="BI56" s="50">
        <f t="shared" si="76"/>
        <v>1686.6</v>
      </c>
      <c r="BJ56" s="50">
        <f t="shared" si="76"/>
        <v>1861.4</v>
      </c>
      <c r="BK56" s="50">
        <f t="shared" si="76"/>
        <v>1759</v>
      </c>
      <c r="BL56" s="50">
        <f t="shared" si="76"/>
        <v>1943.6000000000001</v>
      </c>
      <c r="BM56" s="50">
        <f t="shared" si="76"/>
        <v>2089.2000000000003</v>
      </c>
      <c r="BN56" s="50">
        <f t="shared" si="76"/>
        <v>2044.1999999999998</v>
      </c>
      <c r="BO56" s="50">
        <f t="shared" si="76"/>
        <v>1781.6</v>
      </c>
      <c r="BP56" s="50">
        <f t="shared" si="76"/>
        <v>1853.4</v>
      </c>
      <c r="BQ56" s="50">
        <f t="shared" si="76"/>
        <v>2065.9</v>
      </c>
      <c r="BR56" s="50">
        <f t="shared" si="76"/>
        <v>2213.6</v>
      </c>
      <c r="BS56" s="50">
        <f>SUM(BS51:BS55)</f>
        <v>2012.6999999999998</v>
      </c>
      <c r="BT56" s="50">
        <f>SUM(BT51:BT55)</f>
        <v>2210.1</v>
      </c>
      <c r="BU56" s="50">
        <f>SUM(BU51:BU55)</f>
        <v>2309.7000000000003</v>
      </c>
      <c r="BV56" s="34"/>
      <c r="BW56" s="34"/>
      <c r="BX56" s="34"/>
      <c r="BY56" s="34"/>
      <c r="BZ56" s="34"/>
      <c r="CI56" s="50">
        <f t="shared" si="72"/>
        <v>1603.1000000000001</v>
      </c>
      <c r="CJ56" s="50">
        <f t="shared" si="73"/>
        <v>1861.4</v>
      </c>
      <c r="CK56" s="50">
        <f t="shared" si="74"/>
        <v>2044.1999999999998</v>
      </c>
      <c r="CL56" s="50">
        <f t="shared" si="75"/>
        <v>2213.6</v>
      </c>
      <c r="CM56" s="34"/>
      <c r="CN56" s="34"/>
      <c r="CO56" s="34"/>
      <c r="CP56" s="34"/>
      <c r="CQ56" s="34"/>
      <c r="CR56" s="34"/>
      <c r="CS56" s="34"/>
      <c r="CT56" s="34"/>
      <c r="CU56" s="34"/>
      <c r="CV56" s="34"/>
      <c r="CW56" s="34"/>
      <c r="CX56" s="34"/>
      <c r="CY56" s="34"/>
      <c r="CZ56" s="34"/>
      <c r="DA56" s="34"/>
      <c r="DB56" s="34"/>
      <c r="DC56" s="34"/>
      <c r="DD56" s="34"/>
      <c r="DE56" s="34"/>
      <c r="DF56" s="34"/>
      <c r="DG56" s="34"/>
      <c r="DH56" s="34"/>
      <c r="DI56" s="34"/>
      <c r="DJ56" s="34"/>
      <c r="DK56" s="34"/>
      <c r="DL56" s="34"/>
      <c r="DM56" s="34"/>
      <c r="DN56" s="34"/>
      <c r="DO56" s="34"/>
      <c r="DP56" s="34"/>
      <c r="DQ56" s="34"/>
      <c r="DR56" s="34"/>
      <c r="DS56" s="34"/>
      <c r="DT56" s="34"/>
      <c r="DU56" s="34"/>
      <c r="DV56" s="34"/>
      <c r="DW56" s="34"/>
      <c r="DX56" s="34"/>
      <c r="DY56" s="34"/>
      <c r="DZ56" s="34"/>
      <c r="EA56" s="34"/>
      <c r="EB56" s="34"/>
      <c r="EC56" s="34"/>
      <c r="ED56" s="34"/>
      <c r="EE56" s="34"/>
      <c r="EF56" s="34"/>
      <c r="EG56" s="34"/>
      <c r="EH56" s="34"/>
      <c r="EI56" s="34"/>
      <c r="EJ56" s="34"/>
      <c r="EK56" s="34"/>
      <c r="EL56" s="34"/>
      <c r="EM56" s="34"/>
      <c r="EN56" s="34"/>
      <c r="EO56" s="34"/>
      <c r="EP56" s="34"/>
      <c r="EQ56" s="34"/>
      <c r="ER56" s="34"/>
      <c r="ES56" s="34"/>
      <c r="ET56" s="34"/>
      <c r="EU56" s="34"/>
      <c r="EV56" s="34"/>
    </row>
    <row r="57" spans="2:152" ht="14.25" customHeight="1">
      <c r="B57" s="1" t="s">
        <v>1481</v>
      </c>
      <c r="AY57" s="47"/>
      <c r="AZ57" s="47"/>
      <c r="BA57" s="47"/>
      <c r="BB57" s="47"/>
      <c r="BC57" s="47">
        <v>10190.200000000001</v>
      </c>
      <c r="BD57" s="47">
        <v>10879.5</v>
      </c>
      <c r="BE57" s="47">
        <v>11460</v>
      </c>
      <c r="BF57" s="47">
        <v>11951.5</v>
      </c>
      <c r="BG57" s="47">
        <v>12156</v>
      </c>
      <c r="BH57" s="47">
        <v>12082.4</v>
      </c>
      <c r="BI57" s="47">
        <v>11573</v>
      </c>
      <c r="BJ57" s="47">
        <v>11112.6</v>
      </c>
      <c r="BK57" s="47">
        <v>11294.4</v>
      </c>
      <c r="BL57" s="47">
        <v>11959.7</v>
      </c>
      <c r="BM57" s="47">
        <v>12623.5</v>
      </c>
      <c r="BN57" s="47">
        <v>13397</v>
      </c>
      <c r="BO57" s="47">
        <v>14046</v>
      </c>
      <c r="BP57" s="47">
        <v>14796.5</v>
      </c>
      <c r="BQ57" s="47">
        <v>15677.5</v>
      </c>
      <c r="BR57" s="47">
        <v>16529.599999999999</v>
      </c>
      <c r="BS57" s="47">
        <v>17207</v>
      </c>
      <c r="BT57" s="47">
        <v>17953.099999999999</v>
      </c>
      <c r="BU57" s="47">
        <v>17042</v>
      </c>
      <c r="CI57" s="47">
        <f t="shared" si="72"/>
        <v>11951.5</v>
      </c>
      <c r="CJ57" s="47">
        <f t="shared" si="73"/>
        <v>11112.6</v>
      </c>
      <c r="CK57" s="47">
        <f t="shared" si="74"/>
        <v>13397</v>
      </c>
      <c r="CL57" s="47">
        <f t="shared" si="75"/>
        <v>16529.599999999999</v>
      </c>
    </row>
    <row r="58" spans="2:152" s="2" customFormat="1" ht="15">
      <c r="B58" s="2" t="s">
        <v>1482</v>
      </c>
      <c r="AY58" s="50"/>
      <c r="AZ58" s="50"/>
      <c r="BA58" s="50"/>
      <c r="BB58" s="50"/>
      <c r="BC58" s="50">
        <f t="shared" ref="BC58:BR58" si="77">BC56+BC57</f>
        <v>11540.400000000001</v>
      </c>
      <c r="BD58" s="50">
        <f t="shared" si="77"/>
        <v>12297</v>
      </c>
      <c r="BE58" s="50">
        <f t="shared" si="77"/>
        <v>12934.8</v>
      </c>
      <c r="BF58" s="50">
        <f t="shared" si="77"/>
        <v>13554.6</v>
      </c>
      <c r="BG58" s="50">
        <f t="shared" si="77"/>
        <v>13677.4</v>
      </c>
      <c r="BH58" s="50">
        <f t="shared" si="77"/>
        <v>13705.199999999999</v>
      </c>
      <c r="BI58" s="50">
        <f t="shared" si="77"/>
        <v>13259.6</v>
      </c>
      <c r="BJ58" s="50">
        <f t="shared" si="77"/>
        <v>12974</v>
      </c>
      <c r="BK58" s="50">
        <f t="shared" si="77"/>
        <v>13053.4</v>
      </c>
      <c r="BL58" s="50">
        <f t="shared" si="77"/>
        <v>13903.300000000001</v>
      </c>
      <c r="BM58" s="50">
        <f t="shared" si="77"/>
        <v>14712.7</v>
      </c>
      <c r="BN58" s="50">
        <f t="shared" si="77"/>
        <v>15441.2</v>
      </c>
      <c r="BO58" s="50">
        <f t="shared" si="77"/>
        <v>15827.6</v>
      </c>
      <c r="BP58" s="50">
        <f t="shared" si="77"/>
        <v>16649.900000000001</v>
      </c>
      <c r="BQ58" s="50">
        <f t="shared" si="77"/>
        <v>17743.400000000001</v>
      </c>
      <c r="BR58" s="50">
        <f t="shared" si="77"/>
        <v>18743.199999999997</v>
      </c>
      <c r="BS58" s="50">
        <f>BS56+BS57</f>
        <v>19219.7</v>
      </c>
      <c r="BT58" s="50">
        <f>BT56+BT57</f>
        <v>20163.199999999997</v>
      </c>
      <c r="BU58" s="50">
        <f>BU56+BU57</f>
        <v>19351.7</v>
      </c>
      <c r="BV58" s="34"/>
      <c r="BW58" s="34"/>
      <c r="BX58" s="34"/>
      <c r="BY58" s="34"/>
      <c r="BZ58" s="34"/>
      <c r="CI58" s="50">
        <f t="shared" si="72"/>
        <v>13554.6</v>
      </c>
      <c r="CJ58" s="50">
        <f t="shared" si="73"/>
        <v>12974</v>
      </c>
      <c r="CK58" s="50">
        <f t="shared" si="74"/>
        <v>15441.2</v>
      </c>
      <c r="CL58" s="50">
        <f t="shared" si="75"/>
        <v>18743.199999999997</v>
      </c>
      <c r="CM58" s="34"/>
      <c r="CN58" s="34"/>
      <c r="CO58" s="34"/>
      <c r="CP58" s="34"/>
      <c r="CQ58" s="34"/>
      <c r="CR58" s="34"/>
      <c r="CS58" s="34"/>
      <c r="CT58" s="34"/>
      <c r="CU58" s="34"/>
      <c r="CV58" s="34"/>
      <c r="CW58" s="34"/>
      <c r="CX58" s="34"/>
      <c r="CY58" s="34"/>
      <c r="CZ58" s="34"/>
      <c r="DA58" s="34"/>
      <c r="DB58" s="34"/>
      <c r="DC58" s="34"/>
      <c r="DD58" s="34"/>
      <c r="DE58" s="34"/>
      <c r="DF58" s="34"/>
      <c r="DG58" s="34"/>
      <c r="DH58" s="34"/>
      <c r="DI58" s="34"/>
      <c r="DJ58" s="34"/>
      <c r="DK58" s="34"/>
      <c r="DL58" s="34"/>
      <c r="DM58" s="34"/>
      <c r="DN58" s="34"/>
      <c r="DO58" s="34"/>
      <c r="DP58" s="34"/>
      <c r="DQ58" s="34"/>
      <c r="DR58" s="34"/>
      <c r="DS58" s="34"/>
      <c r="DT58" s="34"/>
      <c r="DU58" s="34"/>
      <c r="DV58" s="34"/>
      <c r="DW58" s="34"/>
      <c r="DX58" s="34"/>
      <c r="DY58" s="34"/>
      <c r="DZ58" s="34"/>
      <c r="EA58" s="34"/>
      <c r="EB58" s="34"/>
      <c r="EC58" s="34"/>
      <c r="ED58" s="34"/>
      <c r="EE58" s="34"/>
      <c r="EF58" s="34"/>
      <c r="EG58" s="34"/>
      <c r="EH58" s="34"/>
      <c r="EI58" s="34"/>
      <c r="EJ58" s="34"/>
      <c r="EK58" s="34"/>
      <c r="EL58" s="34"/>
      <c r="EM58" s="34"/>
      <c r="EN58" s="34"/>
      <c r="EO58" s="34"/>
      <c r="EP58" s="34"/>
      <c r="EQ58" s="34"/>
      <c r="ER58" s="34"/>
      <c r="ES58" s="34"/>
      <c r="ET58" s="34"/>
      <c r="EU58" s="34"/>
      <c r="EV58" s="34"/>
    </row>
    <row r="59" spans="2:152">
      <c r="BT59" s="1"/>
      <c r="BU59" s="1"/>
    </row>
    <row r="60" spans="2:152">
      <c r="B60" s="1" t="s">
        <v>134</v>
      </c>
      <c r="BC60" s="39">
        <f t="shared" ref="BC60:BS60" si="78">SUM(BC40:BC44)/SUM(BC51:BC53)</f>
        <v>9.2475609756097565</v>
      </c>
      <c r="BD60" s="39">
        <f t="shared" si="78"/>
        <v>8.2205219292253027</v>
      </c>
      <c r="BE60" s="39">
        <f t="shared" si="78"/>
        <v>7.8091342876618937</v>
      </c>
      <c r="BF60" s="39">
        <f t="shared" si="78"/>
        <v>6.889085337105139</v>
      </c>
      <c r="BG60" s="39">
        <f t="shared" si="78"/>
        <v>7.9084219133278824</v>
      </c>
      <c r="BH60" s="39">
        <f t="shared" si="78"/>
        <v>7.820656226696495</v>
      </c>
      <c r="BI60" s="39">
        <f t="shared" si="78"/>
        <v>7.5720129948261352</v>
      </c>
      <c r="BJ60" s="39">
        <f t="shared" si="78"/>
        <v>6.6106353737181518</v>
      </c>
      <c r="BK60" s="39">
        <f t="shared" si="78"/>
        <v>8.1597057427622222</v>
      </c>
      <c r="BL60" s="39">
        <f t="shared" si="78"/>
        <v>8.4411981082501324</v>
      </c>
      <c r="BM60" s="39">
        <f t="shared" si="78"/>
        <v>9.2181611099606542</v>
      </c>
      <c r="BN60" s="39">
        <f t="shared" si="78"/>
        <v>7.3635175504107551</v>
      </c>
      <c r="BO60" s="39">
        <f t="shared" si="78"/>
        <v>8.7701941859129047</v>
      </c>
      <c r="BP60" s="39">
        <f t="shared" si="78"/>
        <v>8.0605518112889634</v>
      </c>
      <c r="BQ60" s="39">
        <f t="shared" si="78"/>
        <v>7.0588925846214048</v>
      </c>
      <c r="BR60" s="39">
        <f t="shared" si="78"/>
        <v>5.9367173150776429</v>
      </c>
      <c r="BS60" s="39">
        <f t="shared" si="78"/>
        <v>7.0761411938643493</v>
      </c>
      <c r="BT60" s="39">
        <f>SUM(BT40:BT44)/SUM(BT51:BT53)</f>
        <v>7.3649684210526329</v>
      </c>
      <c r="BU60" s="39">
        <f>SUM(BU40:BU44)/SUM(BU51:BU53)</f>
        <v>6.8874616254645327</v>
      </c>
      <c r="CI60" s="39">
        <f t="shared" ref="CI60:CK60" si="79">SUM(CI40:CI44)/SUM(CI51:CI53)</f>
        <v>6.889085337105139</v>
      </c>
      <c r="CJ60" s="39">
        <f t="shared" si="79"/>
        <v>6.6106353737181518</v>
      </c>
      <c r="CK60" s="39">
        <f t="shared" si="79"/>
        <v>7.3635175504107551</v>
      </c>
      <c r="CL60" s="39">
        <f>SUM(CL40:CL44)/SUM(CL51:CL53)</f>
        <v>5.9367173150776429</v>
      </c>
    </row>
    <row r="61" spans="2:152">
      <c r="B61" s="1" t="s">
        <v>135</v>
      </c>
      <c r="BC61" s="39">
        <f t="shared" ref="BC61:BS61" si="80">(SUM(BC40:BC44)-BC43)/SUM(BC51:BC53)</f>
        <v>8.36829268292683</v>
      </c>
      <c r="BD61" s="39">
        <f t="shared" si="80"/>
        <v>7.4421369039486267</v>
      </c>
      <c r="BE61" s="39">
        <f t="shared" si="80"/>
        <v>7.0117246080436253</v>
      </c>
      <c r="BF61" s="39">
        <f t="shared" si="80"/>
        <v>6.1970768505421967</v>
      </c>
      <c r="BG61" s="39">
        <f t="shared" si="80"/>
        <v>7.0185336603979289</v>
      </c>
      <c r="BH61" s="39">
        <f t="shared" si="80"/>
        <v>6.920830226199354</v>
      </c>
      <c r="BI61" s="39">
        <f t="shared" si="80"/>
        <v>6.5647936469738903</v>
      </c>
      <c r="BJ61" s="39">
        <f t="shared" si="80"/>
        <v>5.6663495084046938</v>
      </c>
      <c r="BK61" s="39">
        <f t="shared" si="80"/>
        <v>7.0365448504983386</v>
      </c>
      <c r="BL61" s="39">
        <f t="shared" si="80"/>
        <v>7.3847609038360487</v>
      </c>
      <c r="BM61" s="39">
        <f t="shared" si="80"/>
        <v>8.0300269206875132</v>
      </c>
      <c r="BN61" s="39">
        <f t="shared" si="80"/>
        <v>6.2240477968633305</v>
      </c>
      <c r="BO61" s="39">
        <f t="shared" si="80"/>
        <v>7.2772607146960819</v>
      </c>
      <c r="BP61" s="39">
        <f t="shared" si="80"/>
        <v>6.6032013479359728</v>
      </c>
      <c r="BQ61" s="39">
        <f t="shared" si="80"/>
        <v>5.6093719428683233</v>
      </c>
      <c r="BR61" s="39">
        <f t="shared" si="80"/>
        <v>4.6951076974453176</v>
      </c>
      <c r="BS61" s="39">
        <f t="shared" si="80"/>
        <v>5.6405470338199954</v>
      </c>
      <c r="BT61" s="39">
        <f>(SUM(BT40:BT44)-BT43)/SUM(BT51:BT53)</f>
        <v>5.9611789473684222</v>
      </c>
      <c r="BU61" s="39">
        <f>(SUM(BU40:BU44)-BU43)/SUM(BU51:BU53)</f>
        <v>5.4478914202617537</v>
      </c>
      <c r="CI61" s="39">
        <f t="shared" ref="CI61:CK61" si="81">(SUM(CI40:CI44)-CI43)/SUM(CI51:CI53)</f>
        <v>6.1970768505421967</v>
      </c>
      <c r="CJ61" s="39">
        <f t="shared" si="81"/>
        <v>5.6663495084046938</v>
      </c>
      <c r="CK61" s="39">
        <f t="shared" si="81"/>
        <v>6.2240477968633305</v>
      </c>
      <c r="CL61" s="39">
        <f>(SUM(CL40:CL44)-CL43)/SUM(CL51:CL53)</f>
        <v>4.6951076974453176</v>
      </c>
    </row>
    <row r="62" spans="2:152">
      <c r="B62" s="1" t="s">
        <v>136</v>
      </c>
      <c r="BC62" s="39">
        <f t="shared" ref="BC62:BS62" si="82">SUM(BC40)/SUM(BC51:BC53)</f>
        <v>2.1368902439024389</v>
      </c>
      <c r="BD62" s="39">
        <f t="shared" si="82"/>
        <v>2.2072687525618253</v>
      </c>
      <c r="BE62" s="39">
        <f t="shared" si="82"/>
        <v>1.8359918200408998</v>
      </c>
      <c r="BF62" s="39">
        <f t="shared" si="82"/>
        <v>1.5215700141442716</v>
      </c>
      <c r="BG62" s="39">
        <f t="shared" si="82"/>
        <v>1.5032706459525755</v>
      </c>
      <c r="BH62" s="39">
        <f t="shared" si="82"/>
        <v>1.9091474024359929</v>
      </c>
      <c r="BI62" s="39">
        <f t="shared" si="82"/>
        <v>1.850559499458549</v>
      </c>
      <c r="BJ62" s="39">
        <f t="shared" si="82"/>
        <v>1.6716354794375725</v>
      </c>
      <c r="BK62" s="39">
        <f t="shared" si="82"/>
        <v>2.5427147603227338</v>
      </c>
      <c r="BL62" s="39">
        <f t="shared" si="82"/>
        <v>3.6105097214923805</v>
      </c>
      <c r="BM62" s="39">
        <f t="shared" si="82"/>
        <v>3.7295506316007456</v>
      </c>
      <c r="BN62" s="39">
        <f t="shared" si="82"/>
        <v>2.5673076923076925</v>
      </c>
      <c r="BO62" s="39">
        <f t="shared" si="82"/>
        <v>3.2626680455015515</v>
      </c>
      <c r="BP62" s="39">
        <f t="shared" si="82"/>
        <v>3.197872788542544</v>
      </c>
      <c r="BQ62" s="39">
        <f t="shared" si="82"/>
        <v>2.3608882801800042</v>
      </c>
      <c r="BR62" s="39">
        <f t="shared" si="82"/>
        <v>1.692603105693772</v>
      </c>
      <c r="BS62" s="39">
        <f t="shared" si="82"/>
        <v>2.3783034559231195</v>
      </c>
      <c r="BT62" s="39">
        <f>SUM(BT40)/SUM(BT51:BT53)</f>
        <v>2.8657684210526315</v>
      </c>
      <c r="BU62" s="39">
        <f>SUM(BU40)/SUM(BU51:BU53)</f>
        <v>2.2674099208272738</v>
      </c>
      <c r="CI62" s="39">
        <f t="shared" ref="CI62:CK62" si="83">SUM(CI40)/SUM(CI51:CI53)</f>
        <v>1.5215700141442716</v>
      </c>
      <c r="CJ62" s="39">
        <f t="shared" si="83"/>
        <v>1.6716354794375725</v>
      </c>
      <c r="CK62" s="39">
        <f t="shared" si="83"/>
        <v>2.5673076923076925</v>
      </c>
      <c r="CL62" s="39">
        <f>SUM(CL40)/SUM(CL51:CL53)</f>
        <v>1.692603105693772</v>
      </c>
    </row>
    <row r="63" spans="2:152">
      <c r="B63" s="1" t="s">
        <v>137</v>
      </c>
      <c r="BC63" s="39">
        <f t="shared" ref="BC63:BT63" si="84">BC18/BC49</f>
        <v>0.11196319018404906</v>
      </c>
      <c r="BD63" s="39">
        <f t="shared" si="84"/>
        <v>0.11905342766528422</v>
      </c>
      <c r="BE63" s="39">
        <f t="shared" si="84"/>
        <v>0.10849195181915172</v>
      </c>
      <c r="BF63" s="39">
        <f t="shared" si="84"/>
        <v>0.11440396618122263</v>
      </c>
      <c r="BG63" s="39">
        <f t="shared" si="84"/>
        <v>0.10877067278868792</v>
      </c>
      <c r="BH63" s="39">
        <f t="shared" si="84"/>
        <v>0.11106408750282752</v>
      </c>
      <c r="BI63" s="39">
        <f t="shared" si="84"/>
        <v>0.11744832319027475</v>
      </c>
      <c r="BJ63" s="39">
        <f t="shared" si="84"/>
        <v>0.12756281794357949</v>
      </c>
      <c r="BK63" s="39">
        <f t="shared" si="84"/>
        <v>0.12994514755002604</v>
      </c>
      <c r="BL63" s="39">
        <f t="shared" si="84"/>
        <v>0.12629375759711722</v>
      </c>
      <c r="BM63" s="39">
        <f t="shared" si="84"/>
        <v>0.11851665567842751</v>
      </c>
      <c r="BN63" s="39">
        <f t="shared" si="84"/>
        <v>0.12487938191732563</v>
      </c>
      <c r="BO63" s="39">
        <f t="shared" si="84"/>
        <v>0.11944655041698259</v>
      </c>
      <c r="BP63" s="39">
        <f t="shared" si="84"/>
        <v>0.12071543973237078</v>
      </c>
      <c r="BQ63" s="39">
        <f t="shared" si="84"/>
        <v>0.11486524566881205</v>
      </c>
      <c r="BR63" s="39">
        <f t="shared" si="84"/>
        <v>0.12876669938964527</v>
      </c>
      <c r="BS63" s="39">
        <f t="shared" si="84"/>
        <v>0.11724001581652831</v>
      </c>
      <c r="BT63" s="39">
        <f t="shared" si="84"/>
        <v>0.12101253769242977</v>
      </c>
      <c r="BU63" s="39">
        <f t="shared" ref="BU63" si="85">BU18/BU49</f>
        <v>0.12940398309201212</v>
      </c>
      <c r="CI63" s="39">
        <f>CI18/CI49</f>
        <v>0.42126658108686349</v>
      </c>
      <c r="CJ63" s="39">
        <f>CJ18/CJ49</f>
        <v>0.47958994912902725</v>
      </c>
      <c r="CK63" s="39">
        <f>CK18/CK49</f>
        <v>0.46136659478152758</v>
      </c>
      <c r="CL63" s="39">
        <f>CL18/CL49</f>
        <v>0.44560694011694901</v>
      </c>
    </row>
    <row r="64" spans="2:152">
      <c r="B64" s="1" t="s">
        <v>138</v>
      </c>
      <c r="BC64" s="39">
        <f t="shared" ref="BC64:BU64" si="86">BC19/AVERAGE(AZ43:BC43)</f>
        <v>0.67527739251040231</v>
      </c>
      <c r="BD64" s="39">
        <f t="shared" si="86"/>
        <v>0.76807675534234632</v>
      </c>
      <c r="BE64" s="39">
        <f t="shared" si="86"/>
        <v>0.74835393323322164</v>
      </c>
      <c r="BF64" s="39">
        <f t="shared" si="86"/>
        <v>0.84520163899072687</v>
      </c>
      <c r="BG64" s="39">
        <f t="shared" si="86"/>
        <v>0.7984298659539818</v>
      </c>
      <c r="BH64" s="39">
        <f t="shared" si="86"/>
        <v>0.78273832875637506</v>
      </c>
      <c r="BI64" s="39">
        <f t="shared" si="86"/>
        <v>0.72154790803941171</v>
      </c>
      <c r="BJ64" s="39">
        <f t="shared" si="86"/>
        <v>0.70041515141762956</v>
      </c>
      <c r="BK64" s="39">
        <f t="shared" si="86"/>
        <v>0.68593607574465587</v>
      </c>
      <c r="BL64" s="39">
        <f t="shared" si="86"/>
        <v>0.63442057521523043</v>
      </c>
      <c r="BM64" s="39">
        <f t="shared" si="86"/>
        <v>0.5775829680651221</v>
      </c>
      <c r="BN64" s="39">
        <f t="shared" si="86"/>
        <v>0.6026991365540868</v>
      </c>
      <c r="BO64" s="39">
        <f t="shared" si="86"/>
        <v>0.55232632795445802</v>
      </c>
      <c r="BP64" s="39">
        <f t="shared" si="86"/>
        <v>0.50458297863916235</v>
      </c>
      <c r="BQ64" s="39">
        <f t="shared" si="86"/>
        <v>0.49332466809024234</v>
      </c>
      <c r="BR64" s="39">
        <f t="shared" si="86"/>
        <v>0.5458502149643496</v>
      </c>
      <c r="BS64" s="39">
        <f t="shared" si="86"/>
        <v>0.53887308682107549</v>
      </c>
      <c r="BT64" s="39">
        <f t="shared" si="86"/>
        <v>0.53128685677356813</v>
      </c>
      <c r="BU64" s="39">
        <f t="shared" si="86"/>
        <v>0.51940767678012845</v>
      </c>
      <c r="CI64" s="39">
        <f>CI19/AVERAGE(CF43:CI43)</f>
        <v>2.9834781127576218</v>
      </c>
      <c r="CJ64" s="39">
        <f>CJ19/AVERAGE(CG43:CJ43)</f>
        <v>2.7375531986759438</v>
      </c>
      <c r="CK64" s="39">
        <f>CK19/AVERAGE(CH43:CK43)</f>
        <v>2.6597800733088968</v>
      </c>
      <c r="CL64" s="39">
        <f>CL19/AVERAGE(CI43:CL43)</f>
        <v>2.595831045103985</v>
      </c>
    </row>
    <row r="65" spans="2:152">
      <c r="B65" s="1" t="s">
        <v>139</v>
      </c>
      <c r="BC65" s="48">
        <f t="shared" ref="BC65:BT65" si="87">BC27/BC49</f>
        <v>3.7710997885688519E-2</v>
      </c>
      <c r="BD65" s="48">
        <f t="shared" si="87"/>
        <v>4.253069854436041E-2</v>
      </c>
      <c r="BE65" s="48">
        <f t="shared" si="87"/>
        <v>2.9935212530731527E-2</v>
      </c>
      <c r="BF65" s="48">
        <f t="shared" si="87"/>
        <v>2.8233957475690925E-2</v>
      </c>
      <c r="BG65" s="48">
        <f t="shared" si="87"/>
        <v>2.700805708687324E-2</v>
      </c>
      <c r="BH65" s="48">
        <f t="shared" si="87"/>
        <v>2.2882660693046921E-2</v>
      </c>
      <c r="BI65" s="48">
        <f t="shared" si="87"/>
        <v>2.4486625491127657E-2</v>
      </c>
      <c r="BJ65" s="48">
        <f t="shared" si="87"/>
        <v>2.5951903807615233E-2</v>
      </c>
      <c r="BK65" s="48">
        <f t="shared" si="87"/>
        <v>2.764073177458401E-2</v>
      </c>
      <c r="BL65" s="48">
        <f t="shared" si="87"/>
        <v>3.0640207720469242E-2</v>
      </c>
      <c r="BM65" s="48">
        <f t="shared" si="87"/>
        <v>2.8533172021450882E-2</v>
      </c>
      <c r="BN65" s="48">
        <f t="shared" si="87"/>
        <v>3.954977883986454E-2</v>
      </c>
      <c r="BO65" s="48">
        <f t="shared" si="87"/>
        <v>3.4584281020975494E-2</v>
      </c>
      <c r="BP65" s="48">
        <f t="shared" si="87"/>
        <v>3.1922113646328215E-2</v>
      </c>
      <c r="BQ65" s="48">
        <f t="shared" si="87"/>
        <v>3.2158436376342747E-2</v>
      </c>
      <c r="BR65" s="48">
        <f t="shared" si="87"/>
        <v>3.6706645610141281E-2</v>
      </c>
      <c r="BS65" s="48">
        <f t="shared" si="87"/>
        <v>3.6612141266570954E-2</v>
      </c>
      <c r="BT65" s="48">
        <f t="shared" si="87"/>
        <v>3.2941199809554046E-2</v>
      </c>
      <c r="BU65" s="48">
        <f t="shared" ref="BU65" si="88">BU27/BU49</f>
        <v>3.6616748829566233E-2</v>
      </c>
      <c r="CI65" s="48">
        <f>CI27/CI49</f>
        <v>0.1274917740102991</v>
      </c>
      <c r="CJ65" s="48">
        <f>CJ27/CJ49</f>
        <v>0.10362262987513489</v>
      </c>
      <c r="CK65" s="48">
        <f>CK27/CK49</f>
        <v>0.11769086799686559</v>
      </c>
      <c r="CL65" s="48">
        <f>CL27/CL49</f>
        <v>0.12471189551410641</v>
      </c>
    </row>
    <row r="66" spans="2:152">
      <c r="B66" s="1" t="s">
        <v>140</v>
      </c>
      <c r="BC66" s="48">
        <f t="shared" ref="BC66:BT66" si="89">BC27/BC57</f>
        <v>4.2707699554473892E-2</v>
      </c>
      <c r="BD66" s="48">
        <f t="shared" si="89"/>
        <v>4.807206213520842E-2</v>
      </c>
      <c r="BE66" s="48">
        <f t="shared" si="89"/>
        <v>3.3787085514834211E-2</v>
      </c>
      <c r="BF66" s="48">
        <f t="shared" si="89"/>
        <v>3.2021085219428543E-2</v>
      </c>
      <c r="BG66" s="48">
        <f t="shared" si="89"/>
        <v>3.038828562026983E-2</v>
      </c>
      <c r="BH66" s="48">
        <f t="shared" si="89"/>
        <v>2.5955108256637768E-2</v>
      </c>
      <c r="BI66" s="48">
        <f t="shared" si="89"/>
        <v>2.8056683660243675E-2</v>
      </c>
      <c r="BJ66" s="48">
        <f t="shared" si="89"/>
        <v>3.0298939942047774E-2</v>
      </c>
      <c r="BK66" s="48">
        <f t="shared" si="89"/>
        <v>3.1945034707465646E-2</v>
      </c>
      <c r="BL66" s="48">
        <f t="shared" si="89"/>
        <v>3.5619622565783424E-2</v>
      </c>
      <c r="BM66" s="48">
        <f t="shared" si="89"/>
        <v>3.3255436289460164E-2</v>
      </c>
      <c r="BN66" s="48">
        <f t="shared" si="89"/>
        <v>4.5584832425169836E-2</v>
      </c>
      <c r="BO66" s="48">
        <f t="shared" si="89"/>
        <v>3.8971949309411939E-2</v>
      </c>
      <c r="BP66" s="48">
        <f t="shared" si="89"/>
        <v>3.59206569121076E-2</v>
      </c>
      <c r="BQ66" s="48">
        <f t="shared" si="89"/>
        <v>3.639610907351299E-2</v>
      </c>
      <c r="BR66" s="48">
        <f t="shared" si="89"/>
        <v>4.1622301810086165E-2</v>
      </c>
      <c r="BS66" s="48">
        <f t="shared" si="89"/>
        <v>4.0896146916952411E-2</v>
      </c>
      <c r="BT66" s="48">
        <f t="shared" si="89"/>
        <v>3.6996396165564736E-2</v>
      </c>
      <c r="BU66" s="48">
        <f t="shared" ref="BU66" si="90">BU27/BU57</f>
        <v>4.1579626804365673E-2</v>
      </c>
      <c r="CI66" s="48">
        <f>CI27/CI57</f>
        <v>0.14459272894615741</v>
      </c>
      <c r="CJ66" s="48">
        <f>CJ27/CJ57</f>
        <v>0.12097978870831311</v>
      </c>
      <c r="CK66" s="48">
        <f>CK27/CK57</f>
        <v>0.13564977233709044</v>
      </c>
      <c r="CL66" s="48">
        <f>CL27/CL57</f>
        <v>0.14141298035040173</v>
      </c>
    </row>
    <row r="67" spans="2:152">
      <c r="BT67" s="1"/>
      <c r="BU67" s="1"/>
    </row>
    <row r="68" spans="2:152">
      <c r="B68" s="1" t="s">
        <v>141</v>
      </c>
      <c r="AY68" s="47">
        <f t="shared" ref="AY68:BT68" si="91">AY27</f>
        <v>316</v>
      </c>
      <c r="AZ68" s="47">
        <f t="shared" si="91"/>
        <v>70.199999999999903</v>
      </c>
      <c r="BA68" s="47">
        <f t="shared" si="91"/>
        <v>316.80000000000013</v>
      </c>
      <c r="BB68" s="47">
        <f t="shared" si="91"/>
        <v>363.79999999999995</v>
      </c>
      <c r="BC68" s="47">
        <f t="shared" si="91"/>
        <v>435.19999999999987</v>
      </c>
      <c r="BD68" s="47">
        <f t="shared" si="91"/>
        <v>523</v>
      </c>
      <c r="BE68" s="47">
        <f t="shared" si="91"/>
        <v>387.20000000000005</v>
      </c>
      <c r="BF68" s="47">
        <f t="shared" si="91"/>
        <v>382.70000000000022</v>
      </c>
      <c r="BG68" s="47">
        <f t="shared" si="91"/>
        <v>369.40000000000003</v>
      </c>
      <c r="BH68" s="47">
        <f t="shared" si="91"/>
        <v>313.60000000000014</v>
      </c>
      <c r="BI68" s="47">
        <f t="shared" si="91"/>
        <v>324.70000000000005</v>
      </c>
      <c r="BJ68" s="47">
        <f t="shared" si="91"/>
        <v>336.7000000000001</v>
      </c>
      <c r="BK68" s="47">
        <f t="shared" si="91"/>
        <v>360.8</v>
      </c>
      <c r="BL68" s="47">
        <f t="shared" si="91"/>
        <v>426.00000000000006</v>
      </c>
      <c r="BM68" s="47">
        <f t="shared" si="91"/>
        <v>419.80000000000035</v>
      </c>
      <c r="BN68" s="47">
        <f t="shared" si="91"/>
        <v>610.70000000000027</v>
      </c>
      <c r="BO68" s="47">
        <f t="shared" si="91"/>
        <v>547.40000000000009</v>
      </c>
      <c r="BP68" s="47">
        <f t="shared" si="91"/>
        <v>531.50000000000011</v>
      </c>
      <c r="BQ68" s="47">
        <f t="shared" si="91"/>
        <v>570.59999999999991</v>
      </c>
      <c r="BR68" s="47">
        <f t="shared" si="91"/>
        <v>688.00000000000023</v>
      </c>
      <c r="BS68" s="47">
        <f t="shared" si="91"/>
        <v>703.70000000000016</v>
      </c>
      <c r="BT68" s="47">
        <f t="shared" si="91"/>
        <v>664.20000000000016</v>
      </c>
      <c r="BU68" s="47">
        <f t="shared" ref="BU68" si="92">BU27</f>
        <v>708.5999999999998</v>
      </c>
      <c r="CH68" s="47">
        <f t="shared" ref="CH68:CH73" si="93">SUM(AY68:BB68)</f>
        <v>1066.8</v>
      </c>
      <c r="CI68" s="47">
        <f t="shared" ref="CI68:CI73" si="94">SUM(BC68:BF68)</f>
        <v>1728.1000000000001</v>
      </c>
      <c r="CJ68" s="47">
        <f t="shared" ref="CJ68:CJ73" si="95">SUM(BG68:BJ68)</f>
        <v>1344.4000000000003</v>
      </c>
      <c r="CK68" s="47">
        <f t="shared" ref="CK68:CK73" si="96">SUM(BK68:BN68)</f>
        <v>1817.3000000000006</v>
      </c>
      <c r="CL68" s="47">
        <f t="shared" ref="CL68:CL73" si="97">SUM(BO68:BR68)</f>
        <v>2337.5</v>
      </c>
    </row>
    <row r="69" spans="2:152" s="2" customFormat="1" ht="15">
      <c r="B69" s="2" t="s">
        <v>142</v>
      </c>
      <c r="AY69" s="50">
        <v>352.8</v>
      </c>
      <c r="AZ69" s="50">
        <v>229.9</v>
      </c>
      <c r="BA69" s="50">
        <v>274.60000000000002</v>
      </c>
      <c r="BB69" s="50">
        <v>627.5</v>
      </c>
      <c r="BC69" s="50">
        <v>477.6</v>
      </c>
      <c r="BD69" s="50">
        <v>542.70000000000005</v>
      </c>
      <c r="BE69" s="50">
        <v>501.4</v>
      </c>
      <c r="BF69" s="50">
        <v>567.70000000000005</v>
      </c>
      <c r="BG69" s="50">
        <v>223</v>
      </c>
      <c r="BH69" s="50">
        <v>446.7</v>
      </c>
      <c r="BI69" s="50">
        <v>383.2</v>
      </c>
      <c r="BJ69" s="50">
        <v>437.9</v>
      </c>
      <c r="BK69" s="50">
        <v>371.4</v>
      </c>
      <c r="BL69" s="50">
        <v>665.7</v>
      </c>
      <c r="BM69" s="50">
        <v>548.4</v>
      </c>
      <c r="BN69" s="50">
        <v>228.3</v>
      </c>
      <c r="BO69" s="50">
        <v>265.39999999999998</v>
      </c>
      <c r="BP69" s="50">
        <v>620.5</v>
      </c>
      <c r="BQ69" s="50">
        <v>706.5</v>
      </c>
      <c r="BR69" s="50">
        <v>822.6</v>
      </c>
      <c r="BS69" s="50">
        <v>581.6</v>
      </c>
      <c r="BT69" s="50">
        <f>1297-BS69</f>
        <v>715.4</v>
      </c>
      <c r="BU69" s="50">
        <f>2138-SUM(BS69:BT69)</f>
        <v>841</v>
      </c>
      <c r="BV69" s="34"/>
      <c r="BW69" s="34"/>
      <c r="BX69" s="34"/>
      <c r="BY69" s="34"/>
      <c r="BZ69" s="34"/>
      <c r="CH69" s="50">
        <f t="shared" si="93"/>
        <v>1484.8000000000002</v>
      </c>
      <c r="CI69" s="50">
        <f t="shared" si="94"/>
        <v>2089.4</v>
      </c>
      <c r="CJ69" s="50">
        <f t="shared" si="95"/>
        <v>1490.8000000000002</v>
      </c>
      <c r="CK69" s="50">
        <f t="shared" si="96"/>
        <v>1813.8</v>
      </c>
      <c r="CL69" s="50">
        <f t="shared" si="97"/>
        <v>2415</v>
      </c>
      <c r="CM69" s="34"/>
      <c r="CN69" s="34"/>
      <c r="CO69" s="34"/>
      <c r="CP69" s="34"/>
      <c r="CQ69" s="34"/>
      <c r="CR69" s="34"/>
      <c r="CS69" s="34"/>
      <c r="CT69" s="34"/>
      <c r="CU69" s="34"/>
      <c r="CV69" s="34"/>
      <c r="CW69" s="34"/>
      <c r="CX69" s="34"/>
      <c r="CY69" s="34"/>
      <c r="CZ69" s="34"/>
      <c r="DA69" s="34"/>
      <c r="DB69" s="34"/>
      <c r="DC69" s="34"/>
      <c r="DD69" s="34"/>
      <c r="DE69" s="34"/>
      <c r="DF69" s="34"/>
      <c r="DG69" s="34"/>
      <c r="DH69" s="34"/>
      <c r="DI69" s="34"/>
      <c r="DJ69" s="34"/>
      <c r="DK69" s="34"/>
      <c r="DL69" s="34"/>
      <c r="DM69" s="34"/>
      <c r="DN69" s="34"/>
      <c r="DO69" s="34"/>
      <c r="DP69" s="34"/>
      <c r="DQ69" s="34"/>
      <c r="DR69" s="34"/>
      <c r="DS69" s="34"/>
      <c r="DT69" s="34"/>
      <c r="DU69" s="34"/>
      <c r="DV69" s="34"/>
      <c r="DW69" s="34"/>
      <c r="DX69" s="34"/>
      <c r="DY69" s="34"/>
      <c r="DZ69" s="34"/>
      <c r="EA69" s="34"/>
      <c r="EB69" s="34"/>
      <c r="EC69" s="34"/>
      <c r="ED69" s="34"/>
      <c r="EE69" s="34"/>
      <c r="EF69" s="34"/>
      <c r="EG69" s="34"/>
      <c r="EH69" s="34"/>
      <c r="EI69" s="34"/>
      <c r="EJ69" s="34"/>
      <c r="EK69" s="34"/>
      <c r="EL69" s="34"/>
      <c r="EM69" s="34"/>
      <c r="EN69" s="34"/>
      <c r="EO69" s="34"/>
      <c r="EP69" s="34"/>
      <c r="EQ69" s="34"/>
      <c r="ER69" s="34"/>
      <c r="ES69" s="34"/>
      <c r="ET69" s="34"/>
      <c r="EU69" s="34"/>
      <c r="EV69" s="34"/>
    </row>
    <row r="70" spans="2:152">
      <c r="B70" s="1" t="s">
        <v>143</v>
      </c>
      <c r="AY70" s="47">
        <v>-105.2</v>
      </c>
      <c r="AZ70" s="47">
        <v>-110</v>
      </c>
      <c r="BA70" s="47">
        <v>-64.400000000000006</v>
      </c>
      <c r="BB70" s="47">
        <v>-61.9</v>
      </c>
      <c r="BC70" s="47">
        <v>-58.6</v>
      </c>
      <c r="BD70" s="47">
        <v>-75.7</v>
      </c>
      <c r="BE70" s="47">
        <v>-68.3</v>
      </c>
      <c r="BF70" s="47">
        <v>-136.9</v>
      </c>
      <c r="BG70" s="47">
        <v>-93.6</v>
      </c>
      <c r="BH70" s="47">
        <v>-130.5</v>
      </c>
      <c r="BI70" s="47">
        <v>-169.1</v>
      </c>
      <c r="BJ70" s="47">
        <v>-139.19999999999999</v>
      </c>
      <c r="BK70" s="47">
        <v>-194.1</v>
      </c>
      <c r="BL70" s="47">
        <v>-178.3</v>
      </c>
      <c r="BM70" s="47">
        <v>-256.3</v>
      </c>
      <c r="BN70" s="47">
        <v>-435.5</v>
      </c>
      <c r="BO70" s="47">
        <v>-241.9</v>
      </c>
      <c r="BP70" s="47">
        <v>-309.39999999999998</v>
      </c>
      <c r="BQ70" s="47">
        <v>-247.9</v>
      </c>
      <c r="BR70" s="47">
        <v>-312</v>
      </c>
      <c r="BS70" s="47">
        <v>-116.6</v>
      </c>
      <c r="BT70" s="47">
        <f>-271.9-BS70</f>
        <v>-155.29999999999998</v>
      </c>
      <c r="BU70" s="47">
        <f>-377.3-SUM(BS70:BT70)</f>
        <v>-105.40000000000003</v>
      </c>
      <c r="CH70" s="47">
        <f t="shared" si="93"/>
        <v>-341.5</v>
      </c>
      <c r="CI70" s="47">
        <f t="shared" si="94"/>
        <v>-339.5</v>
      </c>
      <c r="CJ70" s="47">
        <f t="shared" si="95"/>
        <v>-532.4</v>
      </c>
      <c r="CK70" s="47">
        <f t="shared" si="96"/>
        <v>-1064.2</v>
      </c>
      <c r="CL70" s="47">
        <f t="shared" si="97"/>
        <v>-1111.1999999999998</v>
      </c>
    </row>
    <row r="71" spans="2:152" s="2" customFormat="1" ht="15">
      <c r="B71" s="2" t="s">
        <v>144</v>
      </c>
      <c r="AY71" s="50">
        <f t="shared" ref="AY71:BR71" si="98">AY69+AY70</f>
        <v>247.60000000000002</v>
      </c>
      <c r="AZ71" s="50">
        <f t="shared" si="98"/>
        <v>119.9</v>
      </c>
      <c r="BA71" s="50">
        <f t="shared" si="98"/>
        <v>210.20000000000002</v>
      </c>
      <c r="BB71" s="50">
        <f t="shared" si="98"/>
        <v>565.6</v>
      </c>
      <c r="BC71" s="50">
        <f t="shared" si="98"/>
        <v>419</v>
      </c>
      <c r="BD71" s="50">
        <f t="shared" si="98"/>
        <v>467.00000000000006</v>
      </c>
      <c r="BE71" s="50">
        <f t="shared" si="98"/>
        <v>433.09999999999997</v>
      </c>
      <c r="BF71" s="50">
        <f t="shared" si="98"/>
        <v>430.80000000000007</v>
      </c>
      <c r="BG71" s="50">
        <f t="shared" si="98"/>
        <v>129.4</v>
      </c>
      <c r="BH71" s="50">
        <f t="shared" si="98"/>
        <v>316.2</v>
      </c>
      <c r="BI71" s="50">
        <f t="shared" si="98"/>
        <v>214.1</v>
      </c>
      <c r="BJ71" s="50">
        <f t="shared" si="98"/>
        <v>298.7</v>
      </c>
      <c r="BK71" s="50">
        <f t="shared" si="98"/>
        <v>177.29999999999998</v>
      </c>
      <c r="BL71" s="50">
        <f t="shared" si="98"/>
        <v>487.40000000000003</v>
      </c>
      <c r="BM71" s="50">
        <f t="shared" si="98"/>
        <v>292.09999999999997</v>
      </c>
      <c r="BN71" s="50">
        <f t="shared" si="98"/>
        <v>-207.2</v>
      </c>
      <c r="BO71" s="50">
        <f t="shared" si="98"/>
        <v>23.499999999999972</v>
      </c>
      <c r="BP71" s="50">
        <f t="shared" si="98"/>
        <v>311.10000000000002</v>
      </c>
      <c r="BQ71" s="50">
        <f t="shared" si="98"/>
        <v>458.6</v>
      </c>
      <c r="BR71" s="50">
        <f t="shared" si="98"/>
        <v>510.6</v>
      </c>
      <c r="BS71" s="50">
        <f>BS69+BS70</f>
        <v>465</v>
      </c>
      <c r="BT71" s="50">
        <f>BT69+BT70</f>
        <v>560.1</v>
      </c>
      <c r="BU71" s="50">
        <f>BU69+BU70</f>
        <v>735.59999999999991</v>
      </c>
      <c r="BV71" s="34"/>
      <c r="BW71" s="34"/>
      <c r="BX71" s="34"/>
      <c r="BY71" s="34"/>
      <c r="BZ71" s="34"/>
      <c r="CH71" s="50">
        <f t="shared" si="93"/>
        <v>1143.3000000000002</v>
      </c>
      <c r="CI71" s="50">
        <f t="shared" si="94"/>
        <v>1749.9</v>
      </c>
      <c r="CJ71" s="50">
        <f t="shared" si="95"/>
        <v>958.40000000000009</v>
      </c>
      <c r="CK71" s="50">
        <f t="shared" si="96"/>
        <v>749.59999999999991</v>
      </c>
      <c r="CL71" s="50">
        <f t="shared" si="97"/>
        <v>1303.8000000000002</v>
      </c>
      <c r="CM71" s="34"/>
      <c r="CN71" s="34"/>
      <c r="CO71" s="34"/>
      <c r="CP71" s="34"/>
      <c r="CQ71" s="34"/>
      <c r="CR71" s="34"/>
      <c r="CS71" s="34"/>
      <c r="CT71" s="34"/>
      <c r="CU71" s="34"/>
      <c r="CV71" s="34"/>
      <c r="CW71" s="34"/>
      <c r="CX71" s="34"/>
      <c r="CY71" s="34"/>
      <c r="CZ71" s="34"/>
      <c r="DA71" s="34"/>
      <c r="DB71" s="34"/>
      <c r="DC71" s="34"/>
      <c r="DD71" s="34"/>
      <c r="DE71" s="34"/>
      <c r="DF71" s="34"/>
      <c r="DG71" s="34"/>
      <c r="DH71" s="34"/>
      <c r="DI71" s="34"/>
      <c r="DJ71" s="34"/>
      <c r="DK71" s="34"/>
      <c r="DL71" s="34"/>
      <c r="DM71" s="34"/>
      <c r="DN71" s="34"/>
      <c r="DO71" s="34"/>
      <c r="DP71" s="34"/>
      <c r="DQ71" s="34"/>
      <c r="DR71" s="34"/>
      <c r="DS71" s="34"/>
      <c r="DT71" s="34"/>
      <c r="DU71" s="34"/>
      <c r="DV71" s="34"/>
      <c r="DW71" s="34"/>
      <c r="DX71" s="34"/>
      <c r="DY71" s="34"/>
      <c r="DZ71" s="34"/>
      <c r="EA71" s="34"/>
      <c r="EB71" s="34"/>
      <c r="EC71" s="34"/>
      <c r="ED71" s="34"/>
      <c r="EE71" s="34"/>
      <c r="EF71" s="34"/>
      <c r="EG71" s="34"/>
      <c r="EH71" s="34"/>
      <c r="EI71" s="34"/>
      <c r="EJ71" s="34"/>
      <c r="EK71" s="34"/>
      <c r="EL71" s="34"/>
      <c r="EM71" s="34"/>
      <c r="EN71" s="34"/>
      <c r="EO71" s="34"/>
      <c r="EP71" s="34"/>
      <c r="EQ71" s="34"/>
      <c r="ER71" s="34"/>
      <c r="ES71" s="34"/>
      <c r="ET71" s="34"/>
      <c r="EU71" s="34"/>
      <c r="EV71" s="34"/>
    </row>
    <row r="72" spans="2:152">
      <c r="B72" s="1" t="s">
        <v>145</v>
      </c>
      <c r="AY72" s="1">
        <f t="shared" ref="AY72:BT72" si="99">AY30</f>
        <v>116.4</v>
      </c>
      <c r="AZ72" s="1">
        <f t="shared" si="99"/>
        <v>116.8</v>
      </c>
      <c r="BA72" s="1">
        <f t="shared" si="99"/>
        <v>352</v>
      </c>
      <c r="BB72" s="1">
        <f t="shared" si="99"/>
        <v>351.1</v>
      </c>
      <c r="BC72" s="1">
        <f t="shared" si="99"/>
        <v>354.2</v>
      </c>
      <c r="BD72" s="1">
        <f t="shared" si="99"/>
        <v>355.7</v>
      </c>
      <c r="BE72" s="1">
        <f t="shared" si="99"/>
        <v>356.8</v>
      </c>
      <c r="BF72" s="1">
        <f t="shared" si="99"/>
        <v>356.1</v>
      </c>
      <c r="BG72" s="1">
        <f t="shared" si="99"/>
        <v>358.4</v>
      </c>
      <c r="BH72" s="1">
        <f t="shared" si="99"/>
        <v>358.1</v>
      </c>
      <c r="BI72" s="1">
        <f t="shared" si="99"/>
        <v>355.3</v>
      </c>
      <c r="BJ72" s="1">
        <f t="shared" si="99"/>
        <v>355.7</v>
      </c>
      <c r="BK72" s="1">
        <f t="shared" si="99"/>
        <v>350.2</v>
      </c>
      <c r="BL72" s="1">
        <f t="shared" si="99"/>
        <v>350.9</v>
      </c>
      <c r="BM72" s="1">
        <f t="shared" si="99"/>
        <v>351.7</v>
      </c>
      <c r="BN72" s="1">
        <f t="shared" si="99"/>
        <v>351.2</v>
      </c>
      <c r="BO72" s="1">
        <f t="shared" si="99"/>
        <v>353.5</v>
      </c>
      <c r="BP72" s="1">
        <f t="shared" si="99"/>
        <v>355</v>
      </c>
      <c r="BQ72" s="1">
        <f t="shared" si="99"/>
        <v>355.8</v>
      </c>
      <c r="BR72" s="1">
        <f t="shared" si="99"/>
        <v>355.2</v>
      </c>
      <c r="BS72" s="1">
        <f t="shared" si="99"/>
        <v>357.5</v>
      </c>
      <c r="BT72" s="1">
        <f t="shared" si="99"/>
        <v>358.5</v>
      </c>
      <c r="BU72" s="1">
        <f t="shared" ref="BU72" si="100">BU30</f>
        <v>356.6</v>
      </c>
      <c r="CH72" s="45">
        <f t="shared" si="93"/>
        <v>936.30000000000007</v>
      </c>
      <c r="CI72" s="45">
        <f t="shared" si="94"/>
        <v>1422.8000000000002</v>
      </c>
      <c r="CJ72" s="45">
        <f t="shared" si="95"/>
        <v>1427.5</v>
      </c>
      <c r="CK72" s="45">
        <f t="shared" si="96"/>
        <v>1404</v>
      </c>
      <c r="CL72" s="45">
        <f t="shared" si="97"/>
        <v>1419.5</v>
      </c>
    </row>
    <row r="73" spans="2:152">
      <c r="B73" s="1" t="s">
        <v>146</v>
      </c>
      <c r="AY73" s="39">
        <f t="shared" ref="AY73:BR73" si="101">AY71/AY72</f>
        <v>2.127147766323024</v>
      </c>
      <c r="AZ73" s="39">
        <f t="shared" si="101"/>
        <v>1.0265410958904111</v>
      </c>
      <c r="BA73" s="39">
        <f t="shared" si="101"/>
        <v>0.59715909090909092</v>
      </c>
      <c r="BB73" s="39">
        <f t="shared" si="101"/>
        <v>1.6109370549700939</v>
      </c>
      <c r="BC73" s="39">
        <f t="shared" si="101"/>
        <v>1.1829474872953134</v>
      </c>
      <c r="BD73" s="39">
        <f t="shared" si="101"/>
        <v>1.3129041326960924</v>
      </c>
      <c r="BE73" s="39">
        <f t="shared" si="101"/>
        <v>1.2138452914798206</v>
      </c>
      <c r="BF73" s="39">
        <f t="shared" si="101"/>
        <v>1.2097725358045495</v>
      </c>
      <c r="BG73" s="39">
        <f t="shared" si="101"/>
        <v>0.36104910714285721</v>
      </c>
      <c r="BH73" s="39">
        <f t="shared" si="101"/>
        <v>0.88299357721306893</v>
      </c>
      <c r="BI73" s="39">
        <f t="shared" si="101"/>
        <v>0.60258936110329298</v>
      </c>
      <c r="BJ73" s="39">
        <f t="shared" si="101"/>
        <v>0.83975260050604439</v>
      </c>
      <c r="BK73" s="39">
        <f t="shared" si="101"/>
        <v>0.50628212450028554</v>
      </c>
      <c r="BL73" s="39">
        <f t="shared" si="101"/>
        <v>1.388999715018524</v>
      </c>
      <c r="BM73" s="39">
        <f t="shared" si="101"/>
        <v>0.83053738982087</v>
      </c>
      <c r="BN73" s="39">
        <f t="shared" si="101"/>
        <v>-0.58997722095671978</v>
      </c>
      <c r="BO73" s="39">
        <f t="shared" si="101"/>
        <v>6.64780763790664E-2</v>
      </c>
      <c r="BP73" s="39">
        <f t="shared" si="101"/>
        <v>0.87633802816901418</v>
      </c>
      <c r="BQ73" s="39">
        <f t="shared" si="101"/>
        <v>1.2889263631253514</v>
      </c>
      <c r="BR73" s="39">
        <f t="shared" si="101"/>
        <v>1.4375</v>
      </c>
      <c r="BS73" s="39">
        <f>BS71/BS72</f>
        <v>1.3006993006993006</v>
      </c>
      <c r="BT73" s="39">
        <f>BT71/BT72</f>
        <v>1.5623430962343097</v>
      </c>
      <c r="BU73" s="39">
        <f>BU71/BU72</f>
        <v>2.0628154795288833</v>
      </c>
      <c r="CH73" s="39">
        <f t="shared" si="93"/>
        <v>5.3617850080926202</v>
      </c>
      <c r="CI73" s="39">
        <f t="shared" si="94"/>
        <v>4.9194694472757758</v>
      </c>
      <c r="CJ73" s="39">
        <f t="shared" si="95"/>
        <v>2.6863846459652634</v>
      </c>
      <c r="CK73" s="39">
        <f t="shared" si="96"/>
        <v>2.1358420083829599</v>
      </c>
      <c r="CL73" s="39">
        <f t="shared" si="97"/>
        <v>3.6692424676734321</v>
      </c>
    </row>
  </sheetData>
  <mergeCells count="1">
    <mergeCell ref="CU54:CV54"/>
  </mergeCells>
  <conditionalFormatting sqref="CU54:CV54">
    <cfRule type="colorScale" priority="1">
      <colorScale>
        <cfvo type="min"/>
        <cfvo type="percentile" val="50"/>
        <cfvo type="max"/>
        <color rgb="FFF8696B"/>
        <color rgb="FFFCFCFF"/>
        <color rgb="FF63BE7B"/>
      </colorScale>
    </cfRule>
    <cfRule type="containsText" dxfId="4" priority="2" operator="containsText" text="Strong Sell">
      <formula>NOT(ISERROR(SEARCH("Strong Sell",CU54)))</formula>
    </cfRule>
    <cfRule type="containsText" dxfId="3" priority="3" operator="containsText" text="Sell">
      <formula>NOT(ISERROR(SEARCH("Sell",CU54)))</formula>
    </cfRule>
    <cfRule type="containsText" dxfId="2" priority="4" operator="containsText" text="Hold">
      <formula>NOT(ISERROR(SEARCH("Hold",CU54)))</formula>
    </cfRule>
    <cfRule type="beginsWith" dxfId="1" priority="5" operator="beginsWith" text="Buy">
      <formula>LEFT(CU54,LEN("Buy"))="Buy"</formula>
    </cfRule>
    <cfRule type="beginsWith" dxfId="0" priority="6" operator="beginsWith" text="Strong">
      <formula>LEFT(CU54,LEN("Strong"))="Strong"</formula>
    </cfRule>
  </conditionalFormatting>
  <pageMargins left="0.7" right="0.7" top="0.75" bottom="0.75" header="0.3" footer="0.3"/>
  <ignoredErrors>
    <ignoredError sqref="BB28:BT29" formula="1"/>
    <ignoredError sqref="BC60:BT66 CH69:CM71 CH30:CM30 BU60:BU64" formulaRange="1"/>
  </ignoredErrors>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4FD4A5-C172-4508-BDD9-9132B91E029B}">
  <dimension ref="A2:CA1559"/>
  <sheetViews>
    <sheetView topLeftCell="H100" zoomScale="25" zoomScaleNormal="25" workbookViewId="0">
      <selection activeCell="AO33" sqref="AO33"/>
    </sheetView>
  </sheetViews>
  <sheetFormatPr defaultColWidth="9.140625" defaultRowHeight="14.25"/>
  <cols>
    <col min="1" max="7" width="9.140625" style="1" hidden="1" customWidth="1"/>
    <col min="8" max="8" width="3.140625" style="1" customWidth="1"/>
    <col min="9" max="28" width="9.140625" style="1"/>
    <col min="29" max="29" width="2.85546875" style="1" customWidth="1"/>
    <col min="30" max="16384" width="9.140625" style="1"/>
  </cols>
  <sheetData>
    <row r="2" spans="8:79" ht="15">
      <c r="H2" s="2" t="s">
        <v>166</v>
      </c>
      <c r="AD2" s="2" t="s">
        <v>1515</v>
      </c>
      <c r="CA2" s="1">
        <v>0</v>
      </c>
    </row>
    <row r="32" spans="9:10">
      <c r="I32" s="1" t="s">
        <v>15</v>
      </c>
      <c r="J32" s="1" t="s">
        <v>1508</v>
      </c>
    </row>
    <row r="33" spans="8:30">
      <c r="J33" s="1" t="s">
        <v>17</v>
      </c>
    </row>
    <row r="34" spans="8:30">
      <c r="J34" s="1" t="s">
        <v>18</v>
      </c>
    </row>
    <row r="36" spans="8:30" ht="15">
      <c r="H36" s="2" t="s">
        <v>14</v>
      </c>
      <c r="AD36" s="2" t="s">
        <v>147</v>
      </c>
    </row>
    <row r="50" spans="30:30" ht="15">
      <c r="AD50" s="2"/>
    </row>
    <row r="51" spans="30:30" ht="15">
      <c r="AD51" s="2"/>
    </row>
    <row r="67" spans="8:30">
      <c r="I67" s="1" t="s">
        <v>15</v>
      </c>
      <c r="J67" s="1" t="s">
        <v>16</v>
      </c>
    </row>
    <row r="68" spans="8:30">
      <c r="J68" s="1" t="s">
        <v>17</v>
      </c>
    </row>
    <row r="69" spans="8:30">
      <c r="J69" s="1" t="s">
        <v>18</v>
      </c>
    </row>
    <row r="71" spans="8:30" ht="15">
      <c r="H71" s="2" t="s">
        <v>1490</v>
      </c>
      <c r="AD71" s="2" t="s">
        <v>148</v>
      </c>
    </row>
    <row r="73" spans="8:30" ht="15">
      <c r="AB73"/>
      <c r="AC73"/>
    </row>
    <row r="74" spans="8:30" ht="15">
      <c r="AB74"/>
      <c r="AC74"/>
    </row>
    <row r="75" spans="8:30" ht="15">
      <c r="AB75"/>
      <c r="AC75"/>
    </row>
    <row r="76" spans="8:30" ht="15">
      <c r="AB76"/>
      <c r="AC76"/>
    </row>
    <row r="77" spans="8:30" ht="15">
      <c r="AB77"/>
      <c r="AC77"/>
    </row>
    <row r="78" spans="8:30" ht="15">
      <c r="AB78"/>
      <c r="AC78"/>
    </row>
    <row r="79" spans="8:30" ht="15">
      <c r="AB79"/>
      <c r="AC79"/>
    </row>
    <row r="80" spans="8:30" ht="15">
      <c r="AB80"/>
      <c r="AC80"/>
    </row>
    <row r="81" spans="28:29" ht="15">
      <c r="AB81"/>
      <c r="AC81"/>
    </row>
    <row r="82" spans="28:29" ht="15">
      <c r="AB82"/>
      <c r="AC82"/>
    </row>
    <row r="83" spans="28:29" ht="15">
      <c r="AB83"/>
      <c r="AC83"/>
    </row>
    <row r="84" spans="28:29" ht="15">
      <c r="AB84"/>
      <c r="AC84"/>
    </row>
    <row r="85" spans="28:29" ht="15">
      <c r="AB85"/>
      <c r="AC85"/>
    </row>
    <row r="86" spans="28:29" ht="15">
      <c r="AB86"/>
      <c r="AC86"/>
    </row>
    <row r="87" spans="28:29" ht="15">
      <c r="AB87"/>
      <c r="AC87"/>
    </row>
    <row r="88" spans="28:29" ht="15">
      <c r="AB88"/>
      <c r="AC88"/>
    </row>
    <row r="89" spans="28:29" ht="15">
      <c r="AB89"/>
      <c r="AC89"/>
    </row>
    <row r="90" spans="28:29" ht="15">
      <c r="AB90"/>
      <c r="AC90"/>
    </row>
    <row r="91" spans="28:29" ht="15">
      <c r="AB91"/>
      <c r="AC91"/>
    </row>
    <row r="92" spans="28:29" ht="15">
      <c r="AB92"/>
      <c r="AC92"/>
    </row>
    <row r="93" spans="28:29" ht="15">
      <c r="AB93"/>
      <c r="AC93"/>
    </row>
    <row r="94" spans="28:29" ht="15">
      <c r="AB94"/>
      <c r="AC94"/>
    </row>
    <row r="95" spans="28:29" ht="15">
      <c r="AB95"/>
      <c r="AC95"/>
    </row>
    <row r="96" spans="28:29" ht="15">
      <c r="AB96"/>
      <c r="AC96"/>
    </row>
    <row r="97" spans="8:30" ht="15">
      <c r="AB97"/>
      <c r="AC97"/>
    </row>
    <row r="98" spans="8:30" ht="15">
      <c r="AB98"/>
      <c r="AC98"/>
    </row>
    <row r="103" spans="8:30">
      <c r="I103" s="1" t="s">
        <v>15</v>
      </c>
      <c r="J103" s="1" t="s">
        <v>16</v>
      </c>
    </row>
    <row r="104" spans="8:30">
      <c r="J104" s="1" t="s">
        <v>17</v>
      </c>
    </row>
    <row r="105" spans="8:30">
      <c r="J105" s="1" t="s">
        <v>18</v>
      </c>
    </row>
    <row r="107" spans="8:30" ht="15">
      <c r="H107" s="2" t="s">
        <v>19</v>
      </c>
      <c r="AD107" s="2" t="s">
        <v>149</v>
      </c>
    </row>
    <row r="136" spans="8:30">
      <c r="I136" s="1" t="s">
        <v>15</v>
      </c>
      <c r="J136" s="1" t="s">
        <v>16</v>
      </c>
    </row>
    <row r="137" spans="8:30">
      <c r="J137" s="1" t="s">
        <v>17</v>
      </c>
    </row>
    <row r="138" spans="8:30">
      <c r="J138" s="1" t="s">
        <v>18</v>
      </c>
    </row>
    <row r="140" spans="8:30" ht="15">
      <c r="H140" s="2" t="s">
        <v>1492</v>
      </c>
      <c r="AD140" s="2" t="s">
        <v>150</v>
      </c>
    </row>
    <row r="156" spans="1:7" ht="15" customHeight="1"/>
    <row r="158" spans="1:7">
      <c r="A158" s="1" t="s">
        <v>1446</v>
      </c>
    </row>
    <row r="159" spans="1:7">
      <c r="A159" s="24" t="s">
        <v>20</v>
      </c>
      <c r="B159" s="24" t="s">
        <v>21</v>
      </c>
      <c r="C159" s="24" t="s">
        <v>22</v>
      </c>
      <c r="D159" s="24" t="s">
        <v>23</v>
      </c>
      <c r="E159" s="24" t="s">
        <v>24</v>
      </c>
      <c r="F159" s="24" t="s">
        <v>25</v>
      </c>
      <c r="G159" s="24" t="s">
        <v>26</v>
      </c>
    </row>
    <row r="160" spans="1:7">
      <c r="A160" s="46">
        <v>522.41</v>
      </c>
      <c r="B160" s="46">
        <v>529.34010000000001</v>
      </c>
      <c r="C160" s="46">
        <v>521.5</v>
      </c>
      <c r="D160" s="46">
        <v>529.14</v>
      </c>
      <c r="E160" s="46">
        <v>1657880</v>
      </c>
      <c r="F160" s="46" t="s">
        <v>190</v>
      </c>
      <c r="G160" s="25">
        <f>A160/D160-1</f>
        <v>-1.2718751181161947E-2</v>
      </c>
    </row>
    <row r="161" spans="1:10">
      <c r="A161" s="46">
        <v>529.6</v>
      </c>
      <c r="B161" s="46">
        <v>531.92999999999995</v>
      </c>
      <c r="C161" s="46">
        <v>520.29999999999995</v>
      </c>
      <c r="D161" s="46">
        <v>525.80999999999995</v>
      </c>
      <c r="E161" s="46">
        <v>2027596</v>
      </c>
      <c r="F161" s="46" t="s">
        <v>191</v>
      </c>
      <c r="G161" s="25">
        <f t="shared" ref="G161:G224" si="0">A161/D161-1</f>
        <v>7.2079268176719058E-3</v>
      </c>
    </row>
    <row r="162" spans="1:10">
      <c r="A162" s="46">
        <v>526.15</v>
      </c>
      <c r="B162" s="46">
        <v>531.58749999999998</v>
      </c>
      <c r="C162" s="46">
        <v>498.16719999999998</v>
      </c>
      <c r="D162" s="46">
        <v>531.5</v>
      </c>
      <c r="E162" s="46">
        <v>4806226</v>
      </c>
      <c r="F162" s="46" t="s">
        <v>192</v>
      </c>
      <c r="G162" s="25">
        <f t="shared" si="0"/>
        <v>-1.0065851364064016E-2</v>
      </c>
    </row>
    <row r="163" spans="1:10">
      <c r="A163" s="46">
        <v>557.08000000000004</v>
      </c>
      <c r="B163" s="46">
        <v>564.15</v>
      </c>
      <c r="C163" s="46">
        <v>555.76</v>
      </c>
      <c r="D163" s="46">
        <v>562.17999999999995</v>
      </c>
      <c r="E163" s="46">
        <v>1075298</v>
      </c>
      <c r="F163" s="46" t="s">
        <v>193</v>
      </c>
      <c r="G163" s="25">
        <f t="shared" si="0"/>
        <v>-9.0718275285494032E-3</v>
      </c>
    </row>
    <row r="164" spans="1:10">
      <c r="A164" s="46">
        <v>558.05999999999995</v>
      </c>
      <c r="B164" s="46">
        <v>563.94420000000002</v>
      </c>
      <c r="C164" s="46">
        <v>557.21</v>
      </c>
      <c r="D164" s="46">
        <v>560.70000000000005</v>
      </c>
      <c r="E164" s="46">
        <v>1243772</v>
      </c>
      <c r="F164" s="46" t="s">
        <v>194</v>
      </c>
      <c r="G164" s="25">
        <f t="shared" si="0"/>
        <v>-4.7084002140184156E-3</v>
      </c>
    </row>
    <row r="165" spans="1:10">
      <c r="A165" s="46">
        <v>557.95000000000005</v>
      </c>
      <c r="B165" s="46">
        <v>559.69000000000005</v>
      </c>
      <c r="C165" s="46">
        <v>550.93010000000004</v>
      </c>
      <c r="D165" s="46">
        <v>552.57500000000005</v>
      </c>
      <c r="E165" s="46">
        <v>1147608</v>
      </c>
      <c r="F165" s="46" t="s">
        <v>195</v>
      </c>
      <c r="G165" s="25">
        <f t="shared" si="0"/>
        <v>9.7271863547934156E-3</v>
      </c>
    </row>
    <row r="166" spans="1:10">
      <c r="A166" s="46">
        <v>551.85</v>
      </c>
      <c r="B166" s="46">
        <v>555.13</v>
      </c>
      <c r="C166" s="46">
        <v>548.01499999999999</v>
      </c>
      <c r="D166" s="46">
        <v>550.67999999999995</v>
      </c>
      <c r="E166" s="46">
        <v>1714425</v>
      </c>
      <c r="F166" s="46" t="s">
        <v>196</v>
      </c>
      <c r="G166" s="25">
        <f t="shared" si="0"/>
        <v>2.1246458923513956E-3</v>
      </c>
    </row>
    <row r="167" spans="1:10">
      <c r="A167" s="46">
        <v>553.29</v>
      </c>
      <c r="B167" s="46">
        <v>554.697</v>
      </c>
      <c r="C167" s="46">
        <v>542.52</v>
      </c>
      <c r="D167" s="46">
        <v>549.05999999999995</v>
      </c>
      <c r="E167" s="46">
        <v>1059656</v>
      </c>
      <c r="F167" s="46" t="s">
        <v>197</v>
      </c>
      <c r="G167" s="25">
        <f t="shared" si="0"/>
        <v>7.704076057261533E-3</v>
      </c>
    </row>
    <row r="168" spans="1:10">
      <c r="A168" s="46">
        <v>552.34</v>
      </c>
      <c r="B168" s="46">
        <v>555</v>
      </c>
      <c r="C168" s="46">
        <v>545.73</v>
      </c>
      <c r="D168" s="46">
        <v>554.52</v>
      </c>
      <c r="E168" s="46">
        <v>2091285</v>
      </c>
      <c r="F168" s="46" t="s">
        <v>198</v>
      </c>
      <c r="G168" s="25">
        <f t="shared" si="0"/>
        <v>-3.9313279953833158E-3</v>
      </c>
    </row>
    <row r="169" spans="1:10">
      <c r="A169" s="46">
        <v>555.75</v>
      </c>
      <c r="B169" s="46">
        <v>559.79999999999995</v>
      </c>
      <c r="C169" s="46">
        <v>551.4</v>
      </c>
      <c r="D169" s="46">
        <v>556.47</v>
      </c>
      <c r="E169" s="46">
        <v>1139292</v>
      </c>
      <c r="F169" s="46" t="s">
        <v>199</v>
      </c>
      <c r="G169" s="25">
        <f t="shared" si="0"/>
        <v>-1.2938702895035625E-3</v>
      </c>
    </row>
    <row r="170" spans="1:10">
      <c r="A170" s="46">
        <v>552.41</v>
      </c>
      <c r="B170" s="46">
        <v>556.16</v>
      </c>
      <c r="C170" s="46">
        <v>549.42999999999995</v>
      </c>
      <c r="D170" s="46">
        <v>550.51</v>
      </c>
      <c r="E170" s="46">
        <v>1012083</v>
      </c>
      <c r="F170" s="46" t="s">
        <v>200</v>
      </c>
      <c r="G170" s="25">
        <f t="shared" si="0"/>
        <v>3.4513451163467046E-3</v>
      </c>
    </row>
    <row r="171" spans="1:10">
      <c r="A171" s="46">
        <v>550.19000000000005</v>
      </c>
      <c r="B171" s="46">
        <v>553.16</v>
      </c>
      <c r="C171" s="46">
        <v>547.08579999999995</v>
      </c>
      <c r="D171" s="46">
        <v>548.66</v>
      </c>
      <c r="E171" s="46">
        <v>1244613</v>
      </c>
      <c r="F171" s="46" t="s">
        <v>201</v>
      </c>
      <c r="G171" s="25">
        <f t="shared" si="0"/>
        <v>2.7886122553131276E-3</v>
      </c>
    </row>
    <row r="172" spans="1:10">
      <c r="A172" s="46">
        <v>539.54</v>
      </c>
      <c r="B172" s="46">
        <v>542.06629999999996</v>
      </c>
      <c r="C172" s="46">
        <v>529.15</v>
      </c>
      <c r="D172" s="46">
        <v>535.5</v>
      </c>
      <c r="E172" s="46">
        <v>1138633</v>
      </c>
      <c r="F172" s="46" t="s">
        <v>202</v>
      </c>
      <c r="G172" s="25">
        <f t="shared" si="0"/>
        <v>7.5443510737627228E-3</v>
      </c>
    </row>
    <row r="173" spans="1:10">
      <c r="A173" s="46">
        <v>542.66999999999996</v>
      </c>
      <c r="B173" s="46">
        <v>546.03560000000004</v>
      </c>
      <c r="C173" s="46">
        <v>540.78499999999997</v>
      </c>
      <c r="D173" s="46">
        <v>544.80999999999995</v>
      </c>
      <c r="E173" s="46">
        <v>1129129</v>
      </c>
      <c r="F173" s="46" t="s">
        <v>203</v>
      </c>
      <c r="G173" s="25">
        <f t="shared" si="0"/>
        <v>-3.9279748903287004E-3</v>
      </c>
      <c r="I173" s="1" t="s">
        <v>15</v>
      </c>
      <c r="J173" s="1" t="s">
        <v>16</v>
      </c>
    </row>
    <row r="174" spans="1:10">
      <c r="A174" s="46">
        <v>547.07000000000005</v>
      </c>
      <c r="B174" s="46">
        <v>558.76</v>
      </c>
      <c r="C174" s="46">
        <v>545.52499999999998</v>
      </c>
      <c r="D174" s="46">
        <v>556.55999999999995</v>
      </c>
      <c r="E174" s="46">
        <v>1507978</v>
      </c>
      <c r="F174" s="46" t="s">
        <v>204</v>
      </c>
      <c r="G174" s="25">
        <f t="shared" si="0"/>
        <v>-1.7051171481960448E-2</v>
      </c>
      <c r="J174" s="1" t="s">
        <v>17</v>
      </c>
    </row>
    <row r="175" spans="1:10">
      <c r="A175" s="46">
        <v>557.16</v>
      </c>
      <c r="B175" s="46">
        <v>558</v>
      </c>
      <c r="C175" s="46">
        <v>553</v>
      </c>
      <c r="D175" s="46">
        <v>557.29</v>
      </c>
      <c r="E175" s="46">
        <v>1234950</v>
      </c>
      <c r="F175" s="46" t="s">
        <v>205</v>
      </c>
      <c r="G175" s="25">
        <f t="shared" si="0"/>
        <v>-2.3327172567244592E-4</v>
      </c>
      <c r="J175" s="1" t="s">
        <v>18</v>
      </c>
    </row>
    <row r="176" spans="1:10">
      <c r="A176" s="46">
        <v>561.63</v>
      </c>
      <c r="B176" s="46">
        <v>562.60500000000002</v>
      </c>
      <c r="C176" s="46">
        <v>553.94000000000005</v>
      </c>
      <c r="D176" s="46">
        <v>554.34</v>
      </c>
      <c r="E176" s="46">
        <v>1420405</v>
      </c>
      <c r="F176" s="46" t="s">
        <v>206</v>
      </c>
      <c r="G176" s="25">
        <f t="shared" si="0"/>
        <v>1.3150773893278345E-2</v>
      </c>
    </row>
    <row r="177" spans="1:17">
      <c r="A177" s="46">
        <v>563.6</v>
      </c>
      <c r="B177" s="46">
        <v>563.94000000000005</v>
      </c>
      <c r="C177" s="46">
        <v>555.62</v>
      </c>
      <c r="D177" s="46">
        <v>563.57500000000005</v>
      </c>
      <c r="E177" s="46">
        <v>1422892</v>
      </c>
      <c r="F177" s="46" t="s">
        <v>207</v>
      </c>
      <c r="G177" s="25">
        <f t="shared" si="0"/>
        <v>4.435966818960857E-5</v>
      </c>
      <c r="I177" s="26"/>
      <c r="J177" s="26" t="s">
        <v>27</v>
      </c>
      <c r="K177" s="27">
        <f>MIN(G160:G1415)</f>
        <v>-8.2400000000000029E-2</v>
      </c>
    </row>
    <row r="178" spans="1:17">
      <c r="A178" s="46">
        <v>560.28</v>
      </c>
      <c r="B178" s="46">
        <v>564.05999999999995</v>
      </c>
      <c r="C178" s="46">
        <v>549.54999999999995</v>
      </c>
      <c r="D178" s="46">
        <v>559.32000000000005</v>
      </c>
      <c r="E178" s="46">
        <v>1794742</v>
      </c>
      <c r="F178" s="46" t="s">
        <v>208</v>
      </c>
      <c r="G178" s="25">
        <f t="shared" si="0"/>
        <v>1.7163698777085123E-3</v>
      </c>
      <c r="I178" s="26"/>
      <c r="J178" s="26" t="s">
        <v>28</v>
      </c>
      <c r="K178" s="27">
        <f>MAX(G160:G1415)</f>
        <v>0.16211111111111132</v>
      </c>
    </row>
    <row r="179" spans="1:17">
      <c r="A179" s="46">
        <v>565.94000000000005</v>
      </c>
      <c r="B179" s="46">
        <v>566.79999999999995</v>
      </c>
      <c r="C179" s="46">
        <v>560.29</v>
      </c>
      <c r="D179" s="46">
        <v>563</v>
      </c>
      <c r="E179" s="46">
        <v>1409900</v>
      </c>
      <c r="F179" s="46" t="s">
        <v>209</v>
      </c>
      <c r="G179" s="25">
        <f t="shared" si="0"/>
        <v>5.2220248667851354E-3</v>
      </c>
      <c r="I179" s="26"/>
      <c r="J179" s="26" t="s">
        <v>29</v>
      </c>
      <c r="K179" s="27">
        <f>AVERAGE(G160:G1415)</f>
        <v>4.5389199025156152E-4</v>
      </c>
    </row>
    <row r="180" spans="1:17">
      <c r="A180" s="46">
        <v>563.95000000000005</v>
      </c>
      <c r="B180" s="46">
        <v>568.69000000000005</v>
      </c>
      <c r="C180" s="46">
        <v>559.88</v>
      </c>
      <c r="D180" s="46">
        <v>561.66999999999996</v>
      </c>
      <c r="E180" s="46">
        <v>1529396</v>
      </c>
      <c r="F180" s="46" t="s">
        <v>210</v>
      </c>
      <c r="G180" s="25">
        <f t="shared" si="0"/>
        <v>4.0593230900707322E-3</v>
      </c>
      <c r="I180" s="26"/>
      <c r="J180" s="26" t="s">
        <v>30</v>
      </c>
      <c r="K180" s="27">
        <f>MEDIAN(G160:G1415)</f>
        <v>1.1328381236964669E-3</v>
      </c>
    </row>
    <row r="181" spans="1:17" ht="15">
      <c r="A181" s="46">
        <v>561.42999999999995</v>
      </c>
      <c r="B181" s="46">
        <v>561.61500000000001</v>
      </c>
      <c r="C181" s="46">
        <v>547.67999999999995</v>
      </c>
      <c r="D181" s="46">
        <v>551.97</v>
      </c>
      <c r="E181" s="46">
        <v>2037100</v>
      </c>
      <c r="F181" s="46" t="s">
        <v>211</v>
      </c>
      <c r="G181" s="25">
        <f t="shared" si="0"/>
        <v>1.7138612605757331E-2</v>
      </c>
      <c r="I181" s="26"/>
      <c r="J181" s="26" t="s">
        <v>31</v>
      </c>
      <c r="K181" s="27">
        <f>_xlfn.STDEV.P(G160:G1415)</f>
        <v>1.7141639646643531E-2</v>
      </c>
      <c r="M181" s="2"/>
    </row>
    <row r="182" spans="1:17" ht="15">
      <c r="A182" s="46">
        <v>536.51</v>
      </c>
      <c r="B182" s="46">
        <v>542.74030000000005</v>
      </c>
      <c r="C182" s="46">
        <v>532.9</v>
      </c>
      <c r="D182" s="46">
        <v>540</v>
      </c>
      <c r="E182" s="46">
        <v>925686</v>
      </c>
      <c r="F182" s="46" t="s">
        <v>212</v>
      </c>
      <c r="G182" s="25">
        <f t="shared" si="0"/>
        <v>-6.4629629629630037E-3</v>
      </c>
      <c r="I182" s="26"/>
      <c r="J182" s="28" t="s">
        <v>32</v>
      </c>
      <c r="K182" s="27">
        <f>3*K181</f>
        <v>5.1424918939930592E-2</v>
      </c>
      <c r="L182" s="26"/>
      <c r="M182" s="2" t="s">
        <v>159</v>
      </c>
    </row>
    <row r="183" spans="1:17" ht="15">
      <c r="A183" s="46">
        <v>538.16</v>
      </c>
      <c r="B183" s="46">
        <v>546.55899999999997</v>
      </c>
      <c r="C183" s="46">
        <v>538.01</v>
      </c>
      <c r="D183" s="46">
        <v>540</v>
      </c>
      <c r="E183" s="46">
        <v>1472798</v>
      </c>
      <c r="F183" s="46" t="s">
        <v>213</v>
      </c>
      <c r="G183" s="25">
        <f t="shared" si="0"/>
        <v>-3.4074074074074145E-3</v>
      </c>
      <c r="I183" s="26"/>
      <c r="J183" s="28" t="s">
        <v>33</v>
      </c>
      <c r="K183" s="26">
        <v>1.68</v>
      </c>
      <c r="L183" s="26"/>
      <c r="M183" s="2" t="s">
        <v>34</v>
      </c>
    </row>
    <row r="184" spans="1:17">
      <c r="A184" s="46">
        <v>536.15</v>
      </c>
      <c r="B184" s="46">
        <v>539.04999999999995</v>
      </c>
      <c r="C184" s="46">
        <v>528.87</v>
      </c>
      <c r="D184" s="46">
        <v>532.74</v>
      </c>
      <c r="E184" s="46">
        <v>1311721</v>
      </c>
      <c r="F184" s="46" t="s">
        <v>214</v>
      </c>
      <c r="G184" s="25">
        <f t="shared" si="0"/>
        <v>6.4008709689529208E-3</v>
      </c>
    </row>
    <row r="185" spans="1:17">
      <c r="A185" s="46">
        <v>530.46</v>
      </c>
      <c r="B185" s="46">
        <v>533.55999999999995</v>
      </c>
      <c r="C185" s="46">
        <v>523.59</v>
      </c>
      <c r="D185" s="46">
        <v>526.16</v>
      </c>
      <c r="E185" s="46">
        <v>1128128</v>
      </c>
      <c r="F185" s="46" t="s">
        <v>215</v>
      </c>
      <c r="G185" s="25">
        <f t="shared" si="0"/>
        <v>8.1724190360348281E-3</v>
      </c>
    </row>
    <row r="186" spans="1:17">
      <c r="A186" s="46">
        <v>531.82000000000005</v>
      </c>
      <c r="B186" s="46">
        <v>536.05989999999997</v>
      </c>
      <c r="C186" s="46">
        <v>522.94500000000005</v>
      </c>
      <c r="D186" s="46">
        <v>528.32000000000005</v>
      </c>
      <c r="E186" s="46">
        <v>1375990</v>
      </c>
      <c r="F186" s="46" t="s">
        <v>216</v>
      </c>
      <c r="G186" s="25">
        <f t="shared" si="0"/>
        <v>6.6247728649302395E-3</v>
      </c>
      <c r="I186" s="29" t="s">
        <v>35</v>
      </c>
      <c r="J186" s="30">
        <v>1256</v>
      </c>
    </row>
    <row r="187" spans="1:17" ht="15" thickBot="1">
      <c r="A187" s="46">
        <v>529.41999999999996</v>
      </c>
      <c r="B187" s="46">
        <v>535.6</v>
      </c>
      <c r="C187" s="46">
        <v>525.02</v>
      </c>
      <c r="D187" s="46">
        <v>526.74</v>
      </c>
      <c r="E187" s="46">
        <v>1440695</v>
      </c>
      <c r="F187" s="46" t="s">
        <v>217</v>
      </c>
      <c r="G187" s="25">
        <f t="shared" si="0"/>
        <v>5.0878991532823381E-3</v>
      </c>
      <c r="I187" s="1" t="s">
        <v>36</v>
      </c>
      <c r="L187" s="1" t="s">
        <v>37</v>
      </c>
      <c r="P187" s="1" t="s">
        <v>38</v>
      </c>
    </row>
    <row r="188" spans="1:17" ht="15" customHeight="1">
      <c r="A188" s="46">
        <v>517.17999999999995</v>
      </c>
      <c r="B188" s="46">
        <v>524.44000000000005</v>
      </c>
      <c r="C188" s="46">
        <v>512.66999999999996</v>
      </c>
      <c r="D188" s="46">
        <v>518.12</v>
      </c>
      <c r="E188" s="46">
        <v>1673361</v>
      </c>
      <c r="F188" s="46" t="s">
        <v>218</v>
      </c>
      <c r="G188" s="25">
        <f t="shared" si="0"/>
        <v>-1.8142515247434599E-3</v>
      </c>
      <c r="I188" s="57" t="s">
        <v>39</v>
      </c>
      <c r="J188" s="57" t="s">
        <v>40</v>
      </c>
      <c r="L188" s="31" t="s">
        <v>41</v>
      </c>
      <c r="M188" s="32" t="s">
        <v>42</v>
      </c>
      <c r="P188" s="31" t="s">
        <v>43</v>
      </c>
      <c r="Q188" s="32" t="s">
        <v>44</v>
      </c>
    </row>
    <row r="189" spans="1:17" ht="15">
      <c r="A189" s="46">
        <v>515.79999999999995</v>
      </c>
      <c r="B189" s="46">
        <v>517.6</v>
      </c>
      <c r="C189" s="46">
        <v>501.67</v>
      </c>
      <c r="D189" s="46">
        <v>509.99</v>
      </c>
      <c r="E189" s="46">
        <v>1652193</v>
      </c>
      <c r="F189" s="46" t="s">
        <v>219</v>
      </c>
      <c r="G189" s="25">
        <f t="shared" si="0"/>
        <v>1.13923802427498E-2</v>
      </c>
      <c r="I189" s="55">
        <v>-5.1999999999999998E-2</v>
      </c>
      <c r="J189">
        <v>4</v>
      </c>
      <c r="L189" s="54">
        <v>-5.2999999999999999E-2</v>
      </c>
      <c r="M189" s="58">
        <f t="shared" ref="M189:M220" si="1">_xlfn.NORM.DIST(L189,$K$179,$K$181,FALSE)</f>
        <v>0.1800007099063255</v>
      </c>
      <c r="O189" s="1" t="s">
        <v>151</v>
      </c>
      <c r="P189" s="25">
        <f>K179</f>
        <v>4.5389199025156152E-4</v>
      </c>
      <c r="Q189" s="1">
        <v>0</v>
      </c>
    </row>
    <row r="190" spans="1:17" ht="15" customHeight="1">
      <c r="A190" s="46">
        <v>514.89</v>
      </c>
      <c r="B190" s="46">
        <v>516.78</v>
      </c>
      <c r="C190" s="46">
        <v>507.51</v>
      </c>
      <c r="D190" s="46">
        <v>512.9</v>
      </c>
      <c r="E190" s="46">
        <v>1321642</v>
      </c>
      <c r="F190" s="46" t="s">
        <v>220</v>
      </c>
      <c r="G190" s="25">
        <f t="shared" si="0"/>
        <v>3.8798986157144721E-3</v>
      </c>
      <c r="I190" s="55">
        <v>-5.0999999999999997E-2</v>
      </c>
      <c r="J190">
        <v>1</v>
      </c>
      <c r="L190" s="54">
        <v>-5.1999999999999998E-2</v>
      </c>
      <c r="M190" s="58">
        <f t="shared" si="1"/>
        <v>0.2155465119347951</v>
      </c>
      <c r="P190" s="25">
        <f>K179</f>
        <v>4.5389199025156152E-4</v>
      </c>
      <c r="Q190" s="1">
        <v>23.5</v>
      </c>
    </row>
    <row r="191" spans="1:17" ht="15">
      <c r="A191" s="46">
        <v>514.01</v>
      </c>
      <c r="B191" s="46">
        <v>518.4</v>
      </c>
      <c r="C191" s="46">
        <v>508.17</v>
      </c>
      <c r="D191" s="46">
        <v>515.91</v>
      </c>
      <c r="E191" s="46">
        <v>1388123</v>
      </c>
      <c r="F191" s="46" t="s">
        <v>221</v>
      </c>
      <c r="G191" s="25">
        <f t="shared" si="0"/>
        <v>-3.682812893721743E-3</v>
      </c>
      <c r="I191" s="55">
        <v>-0.05</v>
      </c>
      <c r="J191">
        <v>0</v>
      </c>
      <c r="L191" s="54">
        <v>-5.0999999999999997E-2</v>
      </c>
      <c r="M191" s="58">
        <f t="shared" si="1"/>
        <v>0.25723482452772384</v>
      </c>
      <c r="O191" s="38" t="s">
        <v>152</v>
      </c>
      <c r="P191" s="48">
        <f>($K$181*-3)+$K$179</f>
        <v>-5.0971026949679032E-2</v>
      </c>
      <c r="Q191" s="1">
        <v>0</v>
      </c>
    </row>
    <row r="192" spans="1:17" ht="15">
      <c r="A192" s="46">
        <v>514.59</v>
      </c>
      <c r="B192" s="46">
        <v>515.36</v>
      </c>
      <c r="C192" s="46">
        <v>505.75170000000003</v>
      </c>
      <c r="D192" s="46">
        <v>513.17999999999995</v>
      </c>
      <c r="E192" s="46">
        <v>2016172</v>
      </c>
      <c r="F192" s="46" t="s">
        <v>222</v>
      </c>
      <c r="G192" s="25">
        <f t="shared" si="0"/>
        <v>2.747573950660831E-3</v>
      </c>
      <c r="I192" s="55">
        <v>-4.9000000000000002E-2</v>
      </c>
      <c r="J192">
        <v>3</v>
      </c>
      <c r="L192" s="54">
        <v>-0.05</v>
      </c>
      <c r="M192" s="58">
        <f t="shared" si="1"/>
        <v>0.30594299189306229</v>
      </c>
      <c r="O192" s="39"/>
      <c r="P192" s="48">
        <f>($K$181*-3)+$K$179</f>
        <v>-5.0971026949679032E-2</v>
      </c>
      <c r="Q192" s="1">
        <v>2</v>
      </c>
    </row>
    <row r="193" spans="1:17" ht="15">
      <c r="A193" s="46">
        <v>508.13</v>
      </c>
      <c r="B193" s="46">
        <v>511.755</v>
      </c>
      <c r="C193" s="46">
        <v>489.43</v>
      </c>
      <c r="D193" s="46">
        <v>490.82</v>
      </c>
      <c r="E193" s="46">
        <v>2287128</v>
      </c>
      <c r="F193" s="46" t="s">
        <v>223</v>
      </c>
      <c r="G193" s="25">
        <f t="shared" si="0"/>
        <v>3.5267511511348326E-2</v>
      </c>
      <c r="I193" s="55">
        <v>-4.8000000000000001E-2</v>
      </c>
      <c r="J193">
        <v>1</v>
      </c>
      <c r="L193" s="54">
        <f t="shared" ref="L193:L201" si="2">L192+0.001</f>
        <v>-4.9000000000000002E-2</v>
      </c>
      <c r="M193" s="58">
        <f t="shared" si="1"/>
        <v>0.36263793932633254</v>
      </c>
      <c r="O193" s="38" t="s">
        <v>153</v>
      </c>
      <c r="P193" s="48">
        <f>($K$181*-2)+$K$179</f>
        <v>-3.3829387303035502E-2</v>
      </c>
      <c r="Q193" s="1">
        <v>0</v>
      </c>
    </row>
    <row r="194" spans="1:17" ht="15">
      <c r="A194" s="46">
        <v>487.93</v>
      </c>
      <c r="B194" s="46">
        <v>517.30999999999995</v>
      </c>
      <c r="C194" s="46">
        <v>485.09</v>
      </c>
      <c r="D194" s="46">
        <v>500</v>
      </c>
      <c r="E194" s="46">
        <v>3769985</v>
      </c>
      <c r="F194" s="46" t="s">
        <v>224</v>
      </c>
      <c r="G194" s="25">
        <f t="shared" si="0"/>
        <v>-2.4139999999999939E-2</v>
      </c>
      <c r="I194" s="55">
        <v>-4.7E-2</v>
      </c>
      <c r="J194">
        <v>1</v>
      </c>
      <c r="L194" s="54">
        <f t="shared" si="2"/>
        <v>-4.8000000000000001E-2</v>
      </c>
      <c r="M194" s="58">
        <f t="shared" si="1"/>
        <v>0.42837877975613653</v>
      </c>
      <c r="O194" s="39"/>
      <c r="P194" s="48">
        <f>($K$181*-2)+$K$179</f>
        <v>-3.3829387303035502E-2</v>
      </c>
      <c r="Q194" s="1">
        <v>4</v>
      </c>
    </row>
    <row r="195" spans="1:17" ht="15">
      <c r="A195" s="46">
        <v>478.74</v>
      </c>
      <c r="B195" s="46">
        <v>482.59</v>
      </c>
      <c r="C195" s="46">
        <v>464.71</v>
      </c>
      <c r="D195" s="46">
        <v>475.53</v>
      </c>
      <c r="E195" s="46">
        <v>3114427</v>
      </c>
      <c r="F195" s="46" t="s">
        <v>225</v>
      </c>
      <c r="G195" s="25">
        <f t="shared" si="0"/>
        <v>6.7503627531386723E-3</v>
      </c>
      <c r="I195" s="55">
        <v>-4.5999999999999999E-2</v>
      </c>
      <c r="J195">
        <v>0</v>
      </c>
      <c r="L195" s="54">
        <f t="shared" si="2"/>
        <v>-4.7E-2</v>
      </c>
      <c r="M195" s="58">
        <f t="shared" si="1"/>
        <v>0.50431820193818278</v>
      </c>
      <c r="O195" s="40" t="s">
        <v>154</v>
      </c>
      <c r="P195" s="48">
        <f>($K$181*-1)+$K$179</f>
        <v>-1.6687747656391968E-2</v>
      </c>
      <c r="Q195" s="1">
        <v>0</v>
      </c>
    </row>
    <row r="196" spans="1:17" ht="15">
      <c r="A196" s="46">
        <v>468.32</v>
      </c>
      <c r="B196" s="46">
        <v>478.9</v>
      </c>
      <c r="C196" s="46">
        <v>463.05</v>
      </c>
      <c r="D196" s="46">
        <v>475.94</v>
      </c>
      <c r="E196" s="46">
        <v>2648532</v>
      </c>
      <c r="F196" s="46" t="s">
        <v>226</v>
      </c>
      <c r="G196" s="25">
        <f t="shared" si="0"/>
        <v>-1.6010421481699399E-2</v>
      </c>
      <c r="I196" s="55">
        <v>-4.4999999999999998E-2</v>
      </c>
      <c r="J196">
        <v>1</v>
      </c>
      <c r="L196" s="54">
        <f t="shared" si="2"/>
        <v>-4.5999999999999999E-2</v>
      </c>
      <c r="M196" s="58">
        <f t="shared" si="1"/>
        <v>0.59170238415941578</v>
      </c>
      <c r="P196" s="48">
        <f>($K$181*-1)+$K$179</f>
        <v>-1.6687747656391968E-2</v>
      </c>
      <c r="Q196" s="1">
        <v>14</v>
      </c>
    </row>
    <row r="197" spans="1:17" ht="15">
      <c r="A197" s="46">
        <v>482.74</v>
      </c>
      <c r="B197" s="46">
        <v>489.245</v>
      </c>
      <c r="C197" s="46">
        <v>481.39</v>
      </c>
      <c r="D197" s="46">
        <v>484.85</v>
      </c>
      <c r="E197" s="46">
        <v>1625851</v>
      </c>
      <c r="F197" s="46" t="s">
        <v>227</v>
      </c>
      <c r="G197" s="25">
        <f t="shared" si="0"/>
        <v>-4.351861400433199E-3</v>
      </c>
      <c r="I197" s="55">
        <v>-4.3999999999999997E-2</v>
      </c>
      <c r="J197">
        <v>0</v>
      </c>
      <c r="L197" s="54">
        <f t="shared" si="2"/>
        <v>-4.4999999999999998E-2</v>
      </c>
      <c r="M197" s="58">
        <f t="shared" si="1"/>
        <v>0.6918691685525008</v>
      </c>
      <c r="O197" s="1" t="s">
        <v>155</v>
      </c>
      <c r="P197" s="48">
        <f>($K$181*1)+$K$179</f>
        <v>1.7595531636895093E-2</v>
      </c>
      <c r="Q197" s="1">
        <v>0</v>
      </c>
    </row>
    <row r="198" spans="1:17" ht="15">
      <c r="A198" s="46">
        <v>481.34</v>
      </c>
      <c r="B198" s="46">
        <v>492.04</v>
      </c>
      <c r="C198" s="46">
        <v>477.62</v>
      </c>
      <c r="D198" s="46">
        <v>483.9</v>
      </c>
      <c r="E198" s="46">
        <v>1990811</v>
      </c>
      <c r="F198" s="46" t="s">
        <v>228</v>
      </c>
      <c r="G198" s="25">
        <f t="shared" si="0"/>
        <v>-5.2903492457119228E-3</v>
      </c>
      <c r="I198" s="55">
        <v>-4.2999999999999997E-2</v>
      </c>
      <c r="J198">
        <v>1</v>
      </c>
      <c r="L198" s="54">
        <f t="shared" si="2"/>
        <v>-4.3999999999999997E-2</v>
      </c>
      <c r="M198" s="58">
        <f t="shared" si="1"/>
        <v>0.80624422858369704</v>
      </c>
      <c r="P198" s="48">
        <f>($K$181*1)+$K$179</f>
        <v>1.7595531636895093E-2</v>
      </c>
      <c r="Q198" s="1">
        <v>14</v>
      </c>
    </row>
    <row r="199" spans="1:17" ht="15">
      <c r="A199" s="46">
        <v>488.27</v>
      </c>
      <c r="B199" s="46">
        <v>494.64</v>
      </c>
      <c r="C199" s="46">
        <v>483.69</v>
      </c>
      <c r="D199" s="46">
        <v>487.46</v>
      </c>
      <c r="E199" s="46">
        <v>1733370</v>
      </c>
      <c r="F199" s="46" t="s">
        <v>229</v>
      </c>
      <c r="G199" s="25">
        <f t="shared" si="0"/>
        <v>1.6616748040865215E-3</v>
      </c>
      <c r="I199" s="55">
        <v>-4.1999999999999996E-2</v>
      </c>
      <c r="J199">
        <v>1</v>
      </c>
      <c r="L199" s="54">
        <f t="shared" si="2"/>
        <v>-4.2999999999999997E-2</v>
      </c>
      <c r="M199" s="58">
        <f t="shared" si="1"/>
        <v>0.93633496716090259</v>
      </c>
      <c r="O199" s="41" t="s">
        <v>156</v>
      </c>
      <c r="P199" s="48">
        <f>($K$181*2)+$K$179</f>
        <v>3.473717128353862E-2</v>
      </c>
      <c r="Q199" s="1">
        <v>0</v>
      </c>
    </row>
    <row r="200" spans="1:17" ht="15">
      <c r="A200" s="46">
        <v>490.13</v>
      </c>
      <c r="B200" s="46">
        <v>506.142</v>
      </c>
      <c r="C200" s="46">
        <v>487.2022</v>
      </c>
      <c r="D200" s="46">
        <v>502.27</v>
      </c>
      <c r="E200" s="46">
        <v>1518495</v>
      </c>
      <c r="F200" s="46" t="s">
        <v>230</v>
      </c>
      <c r="G200" s="25">
        <f t="shared" si="0"/>
        <v>-2.4170266987875055E-2</v>
      </c>
      <c r="I200" s="55">
        <v>-4.0999999999999995E-2</v>
      </c>
      <c r="J200">
        <v>0</v>
      </c>
      <c r="L200" s="54">
        <f t="shared" si="2"/>
        <v>-4.1999999999999996E-2</v>
      </c>
      <c r="M200" s="58">
        <f t="shared" si="1"/>
        <v>1.0837218962490622</v>
      </c>
      <c r="P200" s="48">
        <f>($K$181*2)+$K$179</f>
        <v>3.473717128353862E-2</v>
      </c>
      <c r="Q200" s="1">
        <v>4</v>
      </c>
    </row>
    <row r="201" spans="1:17" ht="15">
      <c r="A201" s="46">
        <v>493.6</v>
      </c>
      <c r="B201" s="46">
        <v>496.60500000000002</v>
      </c>
      <c r="C201" s="46">
        <v>480.29</v>
      </c>
      <c r="D201" s="46">
        <v>489.27</v>
      </c>
      <c r="E201" s="46">
        <v>2843731</v>
      </c>
      <c r="F201" s="46" t="s">
        <v>231</v>
      </c>
      <c r="G201" s="25">
        <f t="shared" si="0"/>
        <v>8.849919267480244E-3</v>
      </c>
      <c r="I201" s="55">
        <v>-0.04</v>
      </c>
      <c r="J201">
        <v>2</v>
      </c>
      <c r="L201" s="54">
        <f t="shared" si="2"/>
        <v>-4.0999999999999995E-2</v>
      </c>
      <c r="M201" s="58">
        <f t="shared" si="1"/>
        <v>1.2500472718950482</v>
      </c>
      <c r="O201" s="41" t="s">
        <v>157</v>
      </c>
      <c r="P201" s="48">
        <f>($K$181*3)+$K$179</f>
        <v>5.1878810930182151E-2</v>
      </c>
      <c r="Q201" s="1">
        <v>0</v>
      </c>
    </row>
    <row r="202" spans="1:17" ht="15">
      <c r="A202" s="46">
        <v>489.52</v>
      </c>
      <c r="B202" s="46">
        <v>510.6</v>
      </c>
      <c r="C202" s="46">
        <v>472.02</v>
      </c>
      <c r="D202" s="46">
        <v>509</v>
      </c>
      <c r="E202" s="46">
        <v>4056227</v>
      </c>
      <c r="F202" s="46" t="s">
        <v>232</v>
      </c>
      <c r="G202" s="25">
        <f t="shared" si="0"/>
        <v>-3.827111984282916E-2</v>
      </c>
      <c r="I202" s="55">
        <v>-3.9E-2</v>
      </c>
      <c r="J202">
        <v>1</v>
      </c>
      <c r="L202" s="54">
        <v>-0.04</v>
      </c>
      <c r="M202" s="58">
        <f t="shared" si="1"/>
        <v>1.4370007919930305</v>
      </c>
      <c r="O202" s="41"/>
      <c r="P202" s="48">
        <f>($K$181*3)+$K$179</f>
        <v>5.1878810930182151E-2</v>
      </c>
      <c r="Q202" s="1">
        <v>2</v>
      </c>
    </row>
    <row r="203" spans="1:17" ht="15">
      <c r="A203" s="46">
        <v>522.95000000000005</v>
      </c>
      <c r="B203" s="46">
        <v>529.18899999999996</v>
      </c>
      <c r="C203" s="46">
        <v>442.9</v>
      </c>
      <c r="D203" s="46">
        <v>450</v>
      </c>
      <c r="E203" s="46">
        <v>6038249</v>
      </c>
      <c r="F203" s="46" t="s">
        <v>233</v>
      </c>
      <c r="G203" s="25">
        <f t="shared" si="0"/>
        <v>0.16211111111111132</v>
      </c>
      <c r="I203" s="55">
        <v>-3.7999999999999999E-2</v>
      </c>
      <c r="J203">
        <v>1</v>
      </c>
      <c r="L203" s="54">
        <f t="shared" ref="L203:L266" si="3">L202+0.001</f>
        <v>-3.9E-2</v>
      </c>
      <c r="M203" s="58">
        <f t="shared" si="1"/>
        <v>1.6463022085610108</v>
      </c>
      <c r="P203" s="48"/>
    </row>
    <row r="204" spans="1:17" ht="15">
      <c r="A204" s="46">
        <v>457.63</v>
      </c>
      <c r="B204" s="46">
        <v>488.47</v>
      </c>
      <c r="C204" s="46">
        <v>450.91</v>
      </c>
      <c r="D204" s="46">
        <v>479.58</v>
      </c>
      <c r="E204" s="46">
        <v>3157676</v>
      </c>
      <c r="F204" s="46" t="s">
        <v>234</v>
      </c>
      <c r="G204" s="25">
        <f t="shared" si="0"/>
        <v>-4.5769214729554974E-2</v>
      </c>
      <c r="I204" s="55">
        <v>-3.6999999999999998E-2</v>
      </c>
      <c r="J204">
        <v>4</v>
      </c>
      <c r="L204" s="54">
        <f t="shared" si="3"/>
        <v>-3.7999999999999999E-2</v>
      </c>
      <c r="M204" s="58">
        <f t="shared" si="1"/>
        <v>1.8796807620410629</v>
      </c>
    </row>
    <row r="205" spans="1:17" ht="15">
      <c r="A205" s="46">
        <v>463.62</v>
      </c>
      <c r="B205" s="46">
        <v>479.89</v>
      </c>
      <c r="C205" s="46">
        <v>425</v>
      </c>
      <c r="D205" s="46">
        <v>430.97</v>
      </c>
      <c r="E205" s="46">
        <v>4125755</v>
      </c>
      <c r="F205" s="46" t="s">
        <v>235</v>
      </c>
      <c r="G205" s="25">
        <f t="shared" si="0"/>
        <v>7.5759333596306044E-2</v>
      </c>
      <c r="I205" s="55">
        <v>-3.5999999999999997E-2</v>
      </c>
      <c r="J205">
        <v>6</v>
      </c>
      <c r="L205" s="54">
        <f t="shared" si="3"/>
        <v>-3.6999999999999998E-2</v>
      </c>
      <c r="M205" s="58">
        <f t="shared" si="1"/>
        <v>2.1388514121052036</v>
      </c>
    </row>
    <row r="206" spans="1:17" ht="15">
      <c r="A206" s="46">
        <v>451.58</v>
      </c>
      <c r="B206" s="46">
        <v>480.56</v>
      </c>
      <c r="C206" s="46">
        <v>451.02</v>
      </c>
      <c r="D206" s="46">
        <v>476.84</v>
      </c>
      <c r="E206" s="46">
        <v>4108601</v>
      </c>
      <c r="F206" s="46" t="s">
        <v>236</v>
      </c>
      <c r="G206" s="25">
        <f t="shared" si="0"/>
        <v>-5.2973743813438445E-2</v>
      </c>
      <c r="I206" s="55">
        <v>-3.4999999999999996E-2</v>
      </c>
      <c r="J206">
        <v>0</v>
      </c>
      <c r="L206" s="54">
        <f t="shared" si="3"/>
        <v>-3.5999999999999997E-2</v>
      </c>
      <c r="M206" s="58">
        <f t="shared" si="1"/>
        <v>2.4254879171513513</v>
      </c>
    </row>
    <row r="207" spans="1:17" ht="15">
      <c r="A207" s="46">
        <v>494.61</v>
      </c>
      <c r="B207" s="46">
        <v>504.09</v>
      </c>
      <c r="C207" s="46">
        <v>484.88</v>
      </c>
      <c r="D207" s="46">
        <v>487.58</v>
      </c>
      <c r="E207" s="46">
        <v>2728982</v>
      </c>
      <c r="F207" s="46" t="s">
        <v>237</v>
      </c>
      <c r="G207" s="25">
        <f t="shared" si="0"/>
        <v>1.4418146765659001E-2</v>
      </c>
      <c r="I207" s="55">
        <v>-3.3999999999999996E-2</v>
      </c>
      <c r="J207">
        <v>1</v>
      </c>
      <c r="L207" s="54">
        <f t="shared" si="3"/>
        <v>-3.4999999999999996E-2</v>
      </c>
      <c r="M207" s="58">
        <f t="shared" si="1"/>
        <v>2.7411929021522479</v>
      </c>
    </row>
    <row r="208" spans="1:17" ht="15">
      <c r="A208" s="46">
        <v>507.05</v>
      </c>
      <c r="B208" s="46">
        <v>508.62</v>
      </c>
      <c r="C208" s="46">
        <v>486.43</v>
      </c>
      <c r="D208" s="46">
        <v>488.6</v>
      </c>
      <c r="E208" s="46">
        <v>1432212</v>
      </c>
      <c r="F208" s="46" t="s">
        <v>238</v>
      </c>
      <c r="G208" s="25">
        <f t="shared" si="0"/>
        <v>3.7760949652067E-2</v>
      </c>
      <c r="I208" s="55">
        <v>-3.2999999999999995E-2</v>
      </c>
      <c r="J208">
        <v>2</v>
      </c>
      <c r="L208" s="54">
        <f t="shared" si="3"/>
        <v>-3.3999999999999996E-2</v>
      </c>
      <c r="M208" s="58">
        <f t="shared" si="1"/>
        <v>3.0874651503234265</v>
      </c>
    </row>
    <row r="209" spans="1:13" ht="15">
      <c r="A209" s="46">
        <v>496.36</v>
      </c>
      <c r="B209" s="46">
        <v>497.3</v>
      </c>
      <c r="C209" s="46">
        <v>486.2389</v>
      </c>
      <c r="D209" s="46">
        <v>492.26</v>
      </c>
      <c r="E209" s="46">
        <v>1609933</v>
      </c>
      <c r="F209" s="46" t="s">
        <v>239</v>
      </c>
      <c r="G209" s="25">
        <f t="shared" si="0"/>
        <v>8.3289318652743916E-3</v>
      </c>
      <c r="I209" s="55">
        <v>-3.1999999999999994E-2</v>
      </c>
      <c r="J209">
        <v>3</v>
      </c>
      <c r="L209" s="54">
        <f t="shared" si="3"/>
        <v>-3.2999999999999995E-2</v>
      </c>
      <c r="M209" s="58">
        <f t="shared" si="1"/>
        <v>3.4656644562477865</v>
      </c>
    </row>
    <row r="210" spans="1:13" ht="15">
      <c r="A210" s="46">
        <v>495.27</v>
      </c>
      <c r="B210" s="46">
        <v>497.77</v>
      </c>
      <c r="C210" s="46">
        <v>479.48</v>
      </c>
      <c r="D210" s="46">
        <v>484.46</v>
      </c>
      <c r="E210" s="46">
        <v>2290143</v>
      </c>
      <c r="F210" s="46" t="s">
        <v>240</v>
      </c>
      <c r="G210" s="25">
        <f t="shared" si="0"/>
        <v>2.2313503694835424E-2</v>
      </c>
      <c r="I210" s="55">
        <v>-3.0999999999999993E-2</v>
      </c>
      <c r="J210">
        <v>7</v>
      </c>
      <c r="L210" s="54">
        <f t="shared" si="3"/>
        <v>-3.1999999999999994E-2</v>
      </c>
      <c r="M210" s="58">
        <f t="shared" si="1"/>
        <v>3.876974484177885</v>
      </c>
    </row>
    <row r="211" spans="1:13" ht="15">
      <c r="A211" s="46">
        <v>491.84</v>
      </c>
      <c r="B211" s="46">
        <v>505.19</v>
      </c>
      <c r="C211" s="46">
        <v>488.57</v>
      </c>
      <c r="D211" s="46">
        <v>505.06</v>
      </c>
      <c r="E211" s="46">
        <v>1967313</v>
      </c>
      <c r="F211" s="46" t="s">
        <v>241</v>
      </c>
      <c r="G211" s="25">
        <f t="shared" si="0"/>
        <v>-2.6175107907971396E-2</v>
      </c>
      <c r="I211" s="55">
        <v>-2.9999999999999992E-2</v>
      </c>
      <c r="J211">
        <v>3</v>
      </c>
      <c r="L211" s="54">
        <f t="shared" si="3"/>
        <v>-3.0999999999999993E-2</v>
      </c>
      <c r="M211" s="58">
        <f t="shared" si="1"/>
        <v>4.3223641823080801</v>
      </c>
    </row>
    <row r="212" spans="1:13" ht="15">
      <c r="A212" s="46">
        <v>507.9</v>
      </c>
      <c r="B212" s="46">
        <v>513.04999999999995</v>
      </c>
      <c r="C212" s="46">
        <v>502.28820000000002</v>
      </c>
      <c r="D212" s="46">
        <v>505.98</v>
      </c>
      <c r="E212" s="46">
        <v>1472911</v>
      </c>
      <c r="F212" s="46" t="s">
        <v>242</v>
      </c>
      <c r="G212" s="25">
        <f t="shared" si="0"/>
        <v>3.7946163879993833E-3</v>
      </c>
      <c r="I212" s="55">
        <v>-2.8999999999999991E-2</v>
      </c>
      <c r="J212">
        <v>6</v>
      </c>
      <c r="L212" s="54">
        <f t="shared" si="3"/>
        <v>-2.9999999999999992E-2</v>
      </c>
      <c r="M212" s="58">
        <f t="shared" si="1"/>
        <v>4.8025484085267554</v>
      </c>
    </row>
    <row r="213" spans="1:13" ht="15">
      <c r="A213" s="46">
        <v>509.03</v>
      </c>
      <c r="B213" s="46">
        <v>520.89</v>
      </c>
      <c r="C213" s="46">
        <v>506.69</v>
      </c>
      <c r="D213" s="46">
        <v>520.89</v>
      </c>
      <c r="E213" s="46">
        <v>1980609</v>
      </c>
      <c r="F213" s="46" t="s">
        <v>243</v>
      </c>
      <c r="G213" s="25">
        <f t="shared" si="0"/>
        <v>-2.2768722762963378E-2</v>
      </c>
      <c r="I213" s="55">
        <v>-2.799999999999999E-2</v>
      </c>
      <c r="J213">
        <v>9</v>
      </c>
      <c r="L213" s="54">
        <f t="shared" si="3"/>
        <v>-2.8999999999999991E-2</v>
      </c>
      <c r="M213" s="58">
        <f t="shared" si="1"/>
        <v>5.3179485218481579</v>
      </c>
    </row>
    <row r="214" spans="1:13" ht="15">
      <c r="A214" s="46">
        <v>519.80999999999995</v>
      </c>
      <c r="B214" s="46">
        <v>520.39</v>
      </c>
      <c r="C214" s="46">
        <v>511.95</v>
      </c>
      <c r="D214" s="46">
        <v>514</v>
      </c>
      <c r="E214" s="46">
        <v>2527061</v>
      </c>
      <c r="F214" s="46" t="s">
        <v>244</v>
      </c>
      <c r="G214" s="25">
        <f t="shared" si="0"/>
        <v>1.1303501945525207E-2</v>
      </c>
      <c r="I214" s="55">
        <v>-2.6999999999999989E-2</v>
      </c>
      <c r="J214">
        <v>5</v>
      </c>
      <c r="L214" s="54">
        <f t="shared" si="3"/>
        <v>-2.799999999999999E-2</v>
      </c>
      <c r="M214" s="58">
        <f t="shared" si="1"/>
        <v>5.8686537824745599</v>
      </c>
    </row>
    <row r="215" spans="1:13" ht="15">
      <c r="A215" s="46">
        <v>508.58</v>
      </c>
      <c r="B215" s="46">
        <v>510.78</v>
      </c>
      <c r="C215" s="46">
        <v>501.84219999999999</v>
      </c>
      <c r="D215" s="46">
        <v>504.74</v>
      </c>
      <c r="E215" s="46">
        <v>1905501</v>
      </c>
      <c r="F215" s="46" t="s">
        <v>245</v>
      </c>
      <c r="G215" s="25">
        <f t="shared" si="0"/>
        <v>7.6078773229781849E-3</v>
      </c>
      <c r="I215" s="55">
        <v>-2.5999999999999988E-2</v>
      </c>
      <c r="J215">
        <v>8</v>
      </c>
      <c r="L215" s="54">
        <f t="shared" si="3"/>
        <v>-2.6999999999999989E-2</v>
      </c>
      <c r="M215" s="58">
        <f t="shared" si="1"/>
        <v>6.4543844782370741</v>
      </c>
    </row>
    <row r="216" spans="1:13" ht="15">
      <c r="A216" s="46">
        <v>492.49</v>
      </c>
      <c r="B216" s="46">
        <v>492.75</v>
      </c>
      <c r="C216" s="46">
        <v>477.27499999999998</v>
      </c>
      <c r="D216" s="46">
        <v>483.11</v>
      </c>
      <c r="E216" s="46">
        <v>3377219</v>
      </c>
      <c r="F216" s="46" t="s">
        <v>246</v>
      </c>
      <c r="G216" s="25">
        <f t="shared" si="0"/>
        <v>1.9415868021775529E-2</v>
      </c>
      <c r="I216" s="55">
        <v>-2.4999999999999988E-2</v>
      </c>
      <c r="J216">
        <v>8</v>
      </c>
      <c r="L216" s="54">
        <f t="shared" si="3"/>
        <v>-2.5999999999999988E-2</v>
      </c>
      <c r="M216" s="58">
        <f t="shared" si="1"/>
        <v>7.0744577520300105</v>
      </c>
    </row>
    <row r="217" spans="1:13" ht="15">
      <c r="A217" s="46">
        <v>491.81</v>
      </c>
      <c r="B217" s="46">
        <v>500.29</v>
      </c>
      <c r="C217" s="46">
        <v>490.28</v>
      </c>
      <c r="D217" s="46">
        <v>490.4</v>
      </c>
      <c r="E217" s="46">
        <v>2108828</v>
      </c>
      <c r="F217" s="46" t="s">
        <v>247</v>
      </c>
      <c r="G217" s="25">
        <f t="shared" si="0"/>
        <v>2.875203915171376E-3</v>
      </c>
      <c r="I217" s="55">
        <v>-2.3999999999999987E-2</v>
      </c>
      <c r="J217">
        <v>9</v>
      </c>
      <c r="L217" s="54">
        <f t="shared" si="3"/>
        <v>-2.4999999999999988E-2</v>
      </c>
      <c r="M217" s="58">
        <f t="shared" si="1"/>
        <v>7.7277571400114731</v>
      </c>
    </row>
    <row r="218" spans="1:13" ht="15">
      <c r="A218" s="46">
        <v>492.06</v>
      </c>
      <c r="B218" s="46">
        <v>496.26850000000002</v>
      </c>
      <c r="C218" s="46">
        <v>482.8</v>
      </c>
      <c r="D218" s="46">
        <v>486</v>
      </c>
      <c r="E218" s="46">
        <v>2098371</v>
      </c>
      <c r="F218" s="46" t="s">
        <v>248</v>
      </c>
      <c r="G218" s="25">
        <f t="shared" si="0"/>
        <v>1.2469135802469111E-2</v>
      </c>
      <c r="I218" s="55">
        <v>-2.2999999999999986E-2</v>
      </c>
      <c r="J218">
        <v>2</v>
      </c>
      <c r="L218" s="54">
        <f t="shared" si="3"/>
        <v>-2.3999999999999987E-2</v>
      </c>
      <c r="M218" s="58">
        <f t="shared" si="1"/>
        <v>8.4127068403824463</v>
      </c>
    </row>
    <row r="219" spans="1:13" ht="15">
      <c r="A219" s="46">
        <v>483.95</v>
      </c>
      <c r="B219" s="46">
        <v>488.55</v>
      </c>
      <c r="C219" s="46">
        <v>478.41</v>
      </c>
      <c r="D219" s="46">
        <v>487.34</v>
      </c>
      <c r="E219" s="46">
        <v>1728829</v>
      </c>
      <c r="F219" s="46" t="s">
        <v>249</v>
      </c>
      <c r="G219" s="25">
        <f t="shared" si="0"/>
        <v>-6.9561291911190981E-3</v>
      </c>
      <c r="I219" s="55">
        <v>-2.1999999999999985E-2</v>
      </c>
      <c r="J219">
        <v>15</v>
      </c>
      <c r="L219" s="54">
        <f t="shared" si="3"/>
        <v>-2.2999999999999986E-2</v>
      </c>
      <c r="M219" s="58">
        <f t="shared" si="1"/>
        <v>9.1272517146098799</v>
      </c>
    </row>
    <row r="220" spans="1:13" ht="15">
      <c r="A220" s="46">
        <v>488.8</v>
      </c>
      <c r="B220" s="46">
        <v>495.82</v>
      </c>
      <c r="C220" s="46">
        <v>474.9</v>
      </c>
      <c r="D220" s="46">
        <v>480</v>
      </c>
      <c r="E220" s="46">
        <v>3211524</v>
      </c>
      <c r="F220" s="46" t="s">
        <v>250</v>
      </c>
      <c r="G220" s="25">
        <f t="shared" si="0"/>
        <v>1.8333333333333313E-2</v>
      </c>
      <c r="I220" s="55">
        <v>-2.0999999999999984E-2</v>
      </c>
      <c r="J220">
        <v>10</v>
      </c>
      <c r="L220" s="54">
        <f t="shared" si="3"/>
        <v>-2.1999999999999985E-2</v>
      </c>
      <c r="M220" s="58">
        <f t="shared" si="1"/>
        <v>9.8688439748654204</v>
      </c>
    </row>
    <row r="221" spans="1:13" ht="15">
      <c r="A221" s="46">
        <v>484.44</v>
      </c>
      <c r="B221" s="46">
        <v>492.28</v>
      </c>
      <c r="C221" s="46">
        <v>476.57</v>
      </c>
      <c r="D221" s="46">
        <v>482.69</v>
      </c>
      <c r="E221" s="46">
        <v>4239164</v>
      </c>
      <c r="F221" s="46" t="s">
        <v>251</v>
      </c>
      <c r="G221" s="25">
        <f t="shared" si="0"/>
        <v>3.625515341109109E-3</v>
      </c>
      <c r="I221" s="55">
        <v>-1.9999999999999983E-2</v>
      </c>
      <c r="J221">
        <v>10</v>
      </c>
      <c r="L221" s="54">
        <f t="shared" si="3"/>
        <v>-2.0999999999999984E-2</v>
      </c>
      <c r="M221" s="58">
        <f t="shared" ref="M221:M252" si="4">_xlfn.NORM.DIST(L221,$K$179,$K$181,FALSE)</f>
        <v>10.634437431911428</v>
      </c>
    </row>
    <row r="222" spans="1:13" ht="15">
      <c r="A222" s="46">
        <v>476.78</v>
      </c>
      <c r="B222" s="46">
        <v>500.76</v>
      </c>
      <c r="C222" s="46">
        <v>474.37</v>
      </c>
      <c r="D222" s="46">
        <v>498.71</v>
      </c>
      <c r="E222" s="46">
        <v>3645365</v>
      </c>
      <c r="F222" s="46" t="s">
        <v>252</v>
      </c>
      <c r="G222" s="25">
        <f t="shared" si="0"/>
        <v>-4.3973451504882632E-2</v>
      </c>
      <c r="I222" s="55">
        <v>-1.8999999999999982E-2</v>
      </c>
      <c r="J222">
        <v>7</v>
      </c>
      <c r="L222" s="54">
        <f t="shared" si="3"/>
        <v>-1.9999999999999983E-2</v>
      </c>
      <c r="M222" s="58">
        <f t="shared" si="4"/>
        <v>11.420490066371958</v>
      </c>
    </row>
    <row r="223" spans="1:13" ht="15">
      <c r="A223" s="46">
        <v>497.3</v>
      </c>
      <c r="B223" s="46">
        <v>519.51</v>
      </c>
      <c r="C223" s="46">
        <v>496.30500000000001</v>
      </c>
      <c r="D223" s="46">
        <v>511.06</v>
      </c>
      <c r="E223" s="46">
        <v>2558661</v>
      </c>
      <c r="F223" s="46" t="s">
        <v>253</v>
      </c>
      <c r="G223" s="25">
        <f t="shared" si="0"/>
        <v>-2.6924431573592145E-2</v>
      </c>
      <c r="I223" s="55">
        <v>-1.7999999999999981E-2</v>
      </c>
      <c r="J223">
        <v>12</v>
      </c>
      <c r="L223" s="54">
        <f t="shared" si="3"/>
        <v>-1.8999999999999982E-2</v>
      </c>
      <c r="M223" s="58">
        <f t="shared" si="4"/>
        <v>12.222975544066331</v>
      </c>
    </row>
    <row r="224" spans="1:13" ht="15">
      <c r="A224" s="46">
        <v>493.72</v>
      </c>
      <c r="B224" s="46">
        <v>496.185</v>
      </c>
      <c r="C224" s="46">
        <v>478.45</v>
      </c>
      <c r="D224" s="46">
        <v>481.23</v>
      </c>
      <c r="E224" s="46">
        <v>3223423</v>
      </c>
      <c r="F224" s="46" t="s">
        <v>254</v>
      </c>
      <c r="G224" s="25">
        <f t="shared" si="0"/>
        <v>2.5954325374561105E-2</v>
      </c>
      <c r="I224" s="55">
        <v>-1.699999999999998E-2</v>
      </c>
      <c r="J224">
        <v>13</v>
      </c>
      <c r="L224" s="54">
        <f t="shared" si="3"/>
        <v>-1.7999999999999981E-2</v>
      </c>
      <c r="M224" s="58">
        <f t="shared" si="4"/>
        <v>13.037404124800897</v>
      </c>
    </row>
    <row r="225" spans="1:13" ht="15">
      <c r="A225" s="46">
        <v>482.61</v>
      </c>
      <c r="B225" s="46">
        <v>503.91</v>
      </c>
      <c r="C225" s="46">
        <v>476.37130000000002</v>
      </c>
      <c r="D225" s="46">
        <v>503.91</v>
      </c>
      <c r="E225" s="46">
        <v>5517403</v>
      </c>
      <c r="F225" s="46" t="s">
        <v>255</v>
      </c>
      <c r="G225" s="25">
        <f t="shared" ref="G225:G288" si="5">A225/D225-1</f>
        <v>-4.2269452878490266E-2</v>
      </c>
      <c r="I225" s="55">
        <v>-1.599999999999998E-2</v>
      </c>
      <c r="J225">
        <v>10</v>
      </c>
      <c r="L225" s="54">
        <f t="shared" si="3"/>
        <v>-1.699999999999998E-2</v>
      </c>
      <c r="M225" s="58">
        <f t="shared" si="4"/>
        <v>13.858853216834421</v>
      </c>
    </row>
    <row r="226" spans="1:13" ht="15">
      <c r="A226" s="46">
        <v>518.26</v>
      </c>
      <c r="B226" s="46">
        <v>534.24</v>
      </c>
      <c r="C226" s="46">
        <v>502.84</v>
      </c>
      <c r="D226" s="46">
        <v>533.17999999999995</v>
      </c>
      <c r="E226" s="46">
        <v>3688221</v>
      </c>
      <c r="F226" s="46" t="s">
        <v>256</v>
      </c>
      <c r="G226" s="25">
        <f t="shared" si="5"/>
        <v>-2.7983045125473449E-2</v>
      </c>
      <c r="I226" s="55">
        <v>-1.4999999999999979E-2</v>
      </c>
      <c r="J226">
        <v>11</v>
      </c>
      <c r="L226" s="54">
        <f t="shared" si="3"/>
        <v>-1.599999999999998E-2</v>
      </c>
      <c r="M226" s="58">
        <f t="shared" si="4"/>
        <v>14.682007610429313</v>
      </c>
    </row>
    <row r="227" spans="1:13" ht="15">
      <c r="A227" s="46">
        <v>538.57000000000005</v>
      </c>
      <c r="B227" s="46">
        <v>561.69000000000005</v>
      </c>
      <c r="C227" s="46">
        <v>537.50879999999995</v>
      </c>
      <c r="D227" s="46">
        <v>558.95000000000005</v>
      </c>
      <c r="E227" s="46">
        <v>2367225</v>
      </c>
      <c r="F227" s="46" t="s">
        <v>257</v>
      </c>
      <c r="G227" s="25">
        <f t="shared" si="5"/>
        <v>-3.6461221933983379E-2</v>
      </c>
      <c r="I227" s="55">
        <v>-1.3999999999999978E-2</v>
      </c>
      <c r="J227">
        <v>11</v>
      </c>
      <c r="L227" s="54">
        <f t="shared" si="3"/>
        <v>-1.4999999999999979E-2</v>
      </c>
      <c r="M227" s="58">
        <f t="shared" si="4"/>
        <v>15.501209188821909</v>
      </c>
    </row>
    <row r="228" spans="1:13" ht="15">
      <c r="A228" s="46">
        <v>568.02</v>
      </c>
      <c r="B228" s="46">
        <v>569</v>
      </c>
      <c r="C228" s="46">
        <v>554.16999999999996</v>
      </c>
      <c r="D228" s="46">
        <v>554.16999999999996</v>
      </c>
      <c r="E228" s="46">
        <v>2039316</v>
      </c>
      <c r="F228" s="46" t="s">
        <v>258</v>
      </c>
      <c r="G228" s="25">
        <f t="shared" si="5"/>
        <v>2.4992330873197854E-2</v>
      </c>
      <c r="I228" s="55">
        <v>-1.2999999999999977E-2</v>
      </c>
      <c r="J228">
        <v>9</v>
      </c>
      <c r="L228" s="54">
        <f t="shared" si="3"/>
        <v>-1.3999999999999978E-2</v>
      </c>
      <c r="M228" s="58">
        <f t="shared" si="4"/>
        <v>16.310515669883486</v>
      </c>
    </row>
    <row r="229" spans="1:13" ht="15">
      <c r="A229" s="46">
        <v>557.96</v>
      </c>
      <c r="B229" s="46">
        <v>565.79999999999995</v>
      </c>
      <c r="C229" s="46">
        <v>545.53660000000002</v>
      </c>
      <c r="D229" s="46">
        <v>563.69000000000005</v>
      </c>
      <c r="E229" s="46">
        <v>2209644</v>
      </c>
      <c r="F229" s="46" t="s">
        <v>259</v>
      </c>
      <c r="G229" s="25">
        <f t="shared" si="5"/>
        <v>-1.0165161702354153E-2</v>
      </c>
      <c r="I229" s="55">
        <v>-1.1999999999999976E-2</v>
      </c>
      <c r="J229">
        <v>19</v>
      </c>
      <c r="L229" s="54">
        <f t="shared" si="3"/>
        <v>-1.2999999999999977E-2</v>
      </c>
      <c r="M229" s="58">
        <f t="shared" si="4"/>
        <v>17.103767683758068</v>
      </c>
    </row>
    <row r="230" spans="1:13" ht="15">
      <c r="A230" s="46">
        <v>566.98</v>
      </c>
      <c r="B230" s="46">
        <v>584.9</v>
      </c>
      <c r="C230" s="46">
        <v>563.96</v>
      </c>
      <c r="D230" s="46">
        <v>573.78</v>
      </c>
      <c r="E230" s="46">
        <v>1708338</v>
      </c>
      <c r="F230" s="46" t="s">
        <v>260</v>
      </c>
      <c r="G230" s="25">
        <f t="shared" si="5"/>
        <v>-1.1851232179580951E-2</v>
      </c>
      <c r="I230" s="55">
        <v>-1.0999999999999975E-2</v>
      </c>
      <c r="J230">
        <v>26</v>
      </c>
      <c r="L230" s="54">
        <f t="shared" si="3"/>
        <v>-1.1999999999999976E-2</v>
      </c>
      <c r="M230" s="58">
        <f t="shared" si="4"/>
        <v>17.87466324845861</v>
      </c>
    </row>
    <row r="231" spans="1:13" ht="15">
      <c r="A231" s="46">
        <v>573.15</v>
      </c>
      <c r="B231" s="46">
        <v>574</v>
      </c>
      <c r="C231" s="46">
        <v>556.75</v>
      </c>
      <c r="D231" s="46">
        <v>566.95000000000005</v>
      </c>
      <c r="E231" s="46">
        <v>2401366</v>
      </c>
      <c r="F231" s="46" t="s">
        <v>261</v>
      </c>
      <c r="G231" s="25">
        <f t="shared" si="5"/>
        <v>1.0935708616280015E-2</v>
      </c>
      <c r="I231" s="55">
        <v>-9.9999999999999742E-3</v>
      </c>
      <c r="J231">
        <v>18</v>
      </c>
      <c r="L231" s="54">
        <f t="shared" si="3"/>
        <v>-1.0999999999999975E-2</v>
      </c>
      <c r="M231" s="58">
        <f t="shared" si="4"/>
        <v>18.616838474671699</v>
      </c>
    </row>
    <row r="232" spans="1:13" ht="15">
      <c r="A232" s="46">
        <v>563.77</v>
      </c>
      <c r="B232" s="46">
        <v>583.25</v>
      </c>
      <c r="C232" s="46">
        <v>562.4</v>
      </c>
      <c r="D232" s="46">
        <v>581.83000000000004</v>
      </c>
      <c r="E232" s="46">
        <v>1482863</v>
      </c>
      <c r="F232" s="46" t="s">
        <v>262</v>
      </c>
      <c r="G232" s="25">
        <f t="shared" si="5"/>
        <v>-3.1039994500111856E-2</v>
      </c>
      <c r="I232" s="55">
        <v>-8.9999999999999733E-3</v>
      </c>
      <c r="J232">
        <v>22</v>
      </c>
      <c r="L232" s="54">
        <f t="shared" si="3"/>
        <v>-9.9999999999999742E-3</v>
      </c>
      <c r="M232" s="58">
        <f t="shared" si="4"/>
        <v>19.32395312075646</v>
      </c>
    </row>
    <row r="233" spans="1:13" ht="15">
      <c r="A233" s="46">
        <v>580.92999999999995</v>
      </c>
      <c r="B233" s="46">
        <v>586.74</v>
      </c>
      <c r="C233" s="46">
        <v>569.64009999999996</v>
      </c>
      <c r="D233" s="46">
        <v>570.85</v>
      </c>
      <c r="E233" s="46">
        <v>1098255</v>
      </c>
      <c r="F233" s="46" t="s">
        <v>263</v>
      </c>
      <c r="G233" s="25">
        <f t="shared" si="5"/>
        <v>1.7657878602084454E-2</v>
      </c>
      <c r="I233" s="55">
        <v>-7.9999999999999724E-3</v>
      </c>
      <c r="J233">
        <v>24</v>
      </c>
      <c r="L233" s="54">
        <f t="shared" si="3"/>
        <v>-8.9999999999999733E-3</v>
      </c>
      <c r="M233" s="58">
        <f t="shared" si="4"/>
        <v>19.989779436720944</v>
      </c>
    </row>
    <row r="234" spans="1:13" ht="15">
      <c r="A234" s="46">
        <v>573.74</v>
      </c>
      <c r="B234" s="46">
        <v>584.87660000000005</v>
      </c>
      <c r="C234" s="46">
        <v>556.20000000000005</v>
      </c>
      <c r="D234" s="46">
        <v>583.70000000000005</v>
      </c>
      <c r="E234" s="46">
        <v>2549482</v>
      </c>
      <c r="F234" s="46" t="s">
        <v>264</v>
      </c>
      <c r="G234" s="25">
        <f t="shared" si="5"/>
        <v>-1.7063560047969939E-2</v>
      </c>
      <c r="I234" s="55">
        <v>-6.9999999999999724E-3</v>
      </c>
      <c r="J234">
        <v>30</v>
      </c>
      <c r="L234" s="54">
        <f t="shared" si="3"/>
        <v>-7.9999999999999724E-3</v>
      </c>
      <c r="M234" s="58">
        <f t="shared" si="4"/>
        <v>20.608292588809146</v>
      </c>
    </row>
    <row r="235" spans="1:13" ht="15">
      <c r="A235" s="46">
        <v>591.01</v>
      </c>
      <c r="B235" s="46">
        <v>600.58000000000004</v>
      </c>
      <c r="C235" s="46">
        <v>590.66</v>
      </c>
      <c r="D235" s="46">
        <v>594.47</v>
      </c>
      <c r="E235" s="46">
        <v>1441484</v>
      </c>
      <c r="F235" s="46" t="s">
        <v>265</v>
      </c>
      <c r="G235" s="25">
        <f t="shared" si="5"/>
        <v>-5.8203105287063517E-3</v>
      </c>
      <c r="I235" s="55">
        <v>-5.9999999999999724E-3</v>
      </c>
      <c r="J235">
        <v>31</v>
      </c>
      <c r="L235" s="54">
        <f t="shared" si="3"/>
        <v>-6.9999999999999724E-3</v>
      </c>
      <c r="M235" s="58">
        <f t="shared" si="4"/>
        <v>21.173760850327437</v>
      </c>
    </row>
    <row r="236" spans="1:13" ht="15">
      <c r="A236" s="46">
        <v>591.79</v>
      </c>
      <c r="B236" s="46">
        <v>607.35</v>
      </c>
      <c r="C236" s="46">
        <v>590.36500000000001</v>
      </c>
      <c r="D236" s="46">
        <v>605.09</v>
      </c>
      <c r="E236" s="46">
        <v>1675064</v>
      </c>
      <c r="F236" s="46" t="s">
        <v>266</v>
      </c>
      <c r="G236" s="25">
        <f t="shared" si="5"/>
        <v>-2.1980201292369883E-2</v>
      </c>
      <c r="I236" s="55">
        <v>-4.9999999999999723E-3</v>
      </c>
      <c r="J236">
        <v>40</v>
      </c>
      <c r="L236" s="54">
        <f t="shared" si="3"/>
        <v>-5.9999999999999724E-3</v>
      </c>
      <c r="M236" s="58">
        <f t="shared" si="4"/>
        <v>21.680833684403964</v>
      </c>
    </row>
    <row r="237" spans="1:13" ht="15">
      <c r="A237" s="46">
        <v>606.57000000000005</v>
      </c>
      <c r="B237" s="46">
        <v>608.16499999999996</v>
      </c>
      <c r="C237" s="46">
        <v>597.77</v>
      </c>
      <c r="D237" s="46">
        <v>607.15</v>
      </c>
      <c r="E237" s="46">
        <v>1328222</v>
      </c>
      <c r="F237" s="46" t="s">
        <v>267</v>
      </c>
      <c r="G237" s="25">
        <f t="shared" si="5"/>
        <v>-9.5528287902479914E-4</v>
      </c>
      <c r="I237" s="55">
        <v>-3.9999999999999723E-3</v>
      </c>
      <c r="J237">
        <v>32</v>
      </c>
      <c r="L237" s="54">
        <f t="shared" si="3"/>
        <v>-4.9999999999999723E-3</v>
      </c>
      <c r="M237" s="58">
        <f t="shared" si="4"/>
        <v>22.12462583403245</v>
      </c>
    </row>
    <row r="238" spans="1:13" ht="15">
      <c r="A238" s="46">
        <v>608.48</v>
      </c>
      <c r="B238" s="46">
        <v>609.08000000000004</v>
      </c>
      <c r="C238" s="46">
        <v>596.47</v>
      </c>
      <c r="D238" s="46">
        <v>601.33000000000004</v>
      </c>
      <c r="E238" s="46">
        <v>1286302</v>
      </c>
      <c r="F238" s="46" t="s">
        <v>268</v>
      </c>
      <c r="G238" s="25">
        <f t="shared" si="5"/>
        <v>1.1890309813247235E-2</v>
      </c>
      <c r="I238" s="55">
        <v>-2.9999999999999723E-3</v>
      </c>
      <c r="J238">
        <v>48</v>
      </c>
      <c r="L238" s="54">
        <f t="shared" si="3"/>
        <v>-3.9999999999999723E-3</v>
      </c>
      <c r="M238" s="58">
        <f t="shared" si="4"/>
        <v>22.500795575939094</v>
      </c>
    </row>
    <row r="239" spans="1:13" ht="15">
      <c r="A239" s="46">
        <v>600.89</v>
      </c>
      <c r="B239" s="46">
        <v>601.59</v>
      </c>
      <c r="C239" s="46">
        <v>586.61410000000001</v>
      </c>
      <c r="D239" s="46">
        <v>595.45500000000004</v>
      </c>
      <c r="E239" s="46">
        <v>1695961</v>
      </c>
      <c r="F239" s="46" t="s">
        <v>269</v>
      </c>
      <c r="G239" s="25">
        <f t="shared" si="5"/>
        <v>9.1274739484930034E-3</v>
      </c>
      <c r="I239" s="55">
        <v>-1.9999999999999723E-3</v>
      </c>
      <c r="J239">
        <v>35</v>
      </c>
      <c r="L239" s="54">
        <f t="shared" si="3"/>
        <v>-2.9999999999999723E-3</v>
      </c>
      <c r="M239" s="58">
        <f t="shared" si="4"/>
        <v>22.805615387756635</v>
      </c>
    </row>
    <row r="240" spans="1:13" ht="15">
      <c r="A240" s="46">
        <v>595.54999999999995</v>
      </c>
      <c r="B240" s="46">
        <v>599.26</v>
      </c>
      <c r="C240" s="46">
        <v>588.52</v>
      </c>
      <c r="D240" s="46">
        <v>593.16</v>
      </c>
      <c r="E240" s="46">
        <v>1189193</v>
      </c>
      <c r="F240" s="46" t="s">
        <v>270</v>
      </c>
      <c r="G240" s="25">
        <f t="shared" si="5"/>
        <v>4.029266976869561E-3</v>
      </c>
      <c r="I240" s="55">
        <v>-9.9999999999997227E-4</v>
      </c>
      <c r="J240">
        <v>25</v>
      </c>
      <c r="L240" s="54">
        <f t="shared" si="3"/>
        <v>-1.9999999999999723E-3</v>
      </c>
      <c r="M240" s="58">
        <f t="shared" si="4"/>
        <v>23.03603342115029</v>
      </c>
    </row>
    <row r="241" spans="1:13" ht="15">
      <c r="A241" s="46">
        <v>591.39</v>
      </c>
      <c r="B241" s="46">
        <v>593.16999999999996</v>
      </c>
      <c r="C241" s="46">
        <v>583.23329999999999</v>
      </c>
      <c r="D241" s="46">
        <v>590.86</v>
      </c>
      <c r="E241" s="46">
        <v>1270510</v>
      </c>
      <c r="F241" s="46" t="s">
        <v>271</v>
      </c>
      <c r="G241" s="25">
        <f t="shared" si="5"/>
        <v>8.9699759672345891E-4</v>
      </c>
      <c r="I241" s="55">
        <v>2.7755575615628914E-17</v>
      </c>
      <c r="J241">
        <v>41</v>
      </c>
      <c r="L241" s="54">
        <f t="shared" si="3"/>
        <v>-9.9999999999997227E-4</v>
      </c>
      <c r="M241" s="58">
        <f t="shared" si="4"/>
        <v>23.189724363620044</v>
      </c>
    </row>
    <row r="242" spans="1:13" ht="15">
      <c r="A242" s="46">
        <v>589.61</v>
      </c>
      <c r="B242" s="46">
        <v>591.82000000000005</v>
      </c>
      <c r="C242" s="46">
        <v>581.05499999999995</v>
      </c>
      <c r="D242" s="46">
        <v>586.49</v>
      </c>
      <c r="E242" s="46">
        <v>1115443</v>
      </c>
      <c r="F242" s="46" t="s">
        <v>272</v>
      </c>
      <c r="G242" s="25">
        <f t="shared" si="5"/>
        <v>5.3197837985301533E-3</v>
      </c>
      <c r="I242" s="55">
        <v>1.0000000000000278E-3</v>
      </c>
      <c r="J242">
        <v>30</v>
      </c>
      <c r="L242" s="54">
        <f t="shared" si="3"/>
        <v>2.7755575615628914E-17</v>
      </c>
      <c r="M242" s="58">
        <f t="shared" si="4"/>
        <v>23.265128503734072</v>
      </c>
    </row>
    <row r="243" spans="1:13" ht="15">
      <c r="A243" s="46">
        <v>591.65</v>
      </c>
      <c r="B243" s="46">
        <v>592.83000000000004</v>
      </c>
      <c r="C243" s="46">
        <v>587</v>
      </c>
      <c r="D243" s="46">
        <v>591.23</v>
      </c>
      <c r="E243" s="46">
        <v>837339</v>
      </c>
      <c r="F243" s="46" t="s">
        <v>273</v>
      </c>
      <c r="G243" s="25">
        <f t="shared" si="5"/>
        <v>7.1038343791740566E-4</v>
      </c>
      <c r="I243" s="55">
        <v>2.0000000000000278E-3</v>
      </c>
      <c r="J243">
        <v>44</v>
      </c>
      <c r="L243" s="54">
        <f t="shared" si="3"/>
        <v>1.0000000000000278E-3</v>
      </c>
      <c r="M243" s="58">
        <f t="shared" si="4"/>
        <v>23.261478082045755</v>
      </c>
    </row>
    <row r="244" spans="1:13" ht="15">
      <c r="A244" s="46">
        <v>595.70000000000005</v>
      </c>
      <c r="B244" s="46">
        <v>595.96</v>
      </c>
      <c r="C244" s="46">
        <v>586.7749</v>
      </c>
      <c r="D244" s="46">
        <v>590</v>
      </c>
      <c r="E244" s="46">
        <v>1248961</v>
      </c>
      <c r="F244" s="46" t="s">
        <v>274</v>
      </c>
      <c r="G244" s="25">
        <f t="shared" si="5"/>
        <v>9.6610169491526676E-3</v>
      </c>
      <c r="I244" s="55">
        <v>3.0000000000000278E-3</v>
      </c>
      <c r="J244">
        <v>49</v>
      </c>
      <c r="L244" s="54">
        <f t="shared" si="3"/>
        <v>2.0000000000000278E-3</v>
      </c>
      <c r="M244" s="58">
        <f t="shared" si="4"/>
        <v>23.178810305132682</v>
      </c>
    </row>
    <row r="245" spans="1:13" ht="15">
      <c r="A245" s="46">
        <v>582.98</v>
      </c>
      <c r="B245" s="46">
        <v>594.08069999999998</v>
      </c>
      <c r="C245" s="46">
        <v>582.15499999999997</v>
      </c>
      <c r="D245" s="46">
        <v>590.5</v>
      </c>
      <c r="E245" s="46">
        <v>1061378</v>
      </c>
      <c r="F245" s="46" t="s">
        <v>275</v>
      </c>
      <c r="G245" s="25">
        <f t="shared" si="5"/>
        <v>-1.2734970364098208E-2</v>
      </c>
      <c r="I245" s="55">
        <v>4.0000000000000278E-3</v>
      </c>
      <c r="J245">
        <v>32</v>
      </c>
      <c r="L245" s="54">
        <f t="shared" si="3"/>
        <v>3.0000000000000278E-3</v>
      </c>
      <c r="M245" s="58">
        <f t="shared" si="4"/>
        <v>23.017966714271594</v>
      </c>
    </row>
    <row r="246" spans="1:13" ht="15">
      <c r="A246" s="46">
        <v>588.5</v>
      </c>
      <c r="B246" s="46">
        <v>592.85990000000004</v>
      </c>
      <c r="C246" s="46">
        <v>585.4</v>
      </c>
      <c r="D246" s="46">
        <v>592.78</v>
      </c>
      <c r="E246" s="46">
        <v>1008187</v>
      </c>
      <c r="F246" s="46" t="s">
        <v>276</v>
      </c>
      <c r="G246" s="25">
        <f t="shared" si="5"/>
        <v>-7.2202166064981865E-3</v>
      </c>
      <c r="I246" s="55">
        <v>5.0000000000000279E-3</v>
      </c>
      <c r="J246">
        <v>39</v>
      </c>
      <c r="L246" s="54">
        <f t="shared" si="3"/>
        <v>4.0000000000000278E-3</v>
      </c>
      <c r="M246" s="58">
        <f t="shared" si="4"/>
        <v>22.780578923729529</v>
      </c>
    </row>
    <row r="247" spans="1:13" ht="15">
      <c r="A247" s="46">
        <v>590.9</v>
      </c>
      <c r="B247" s="46">
        <v>592.64</v>
      </c>
      <c r="C247" s="46">
        <v>580.16</v>
      </c>
      <c r="D247" s="46">
        <v>580.46</v>
      </c>
      <c r="E247" s="46">
        <v>1521646</v>
      </c>
      <c r="F247" s="46" t="s">
        <v>277</v>
      </c>
      <c r="G247" s="25">
        <f t="shared" si="5"/>
        <v>1.7985735451193863E-2</v>
      </c>
      <c r="I247" s="55">
        <v>6.0000000000000279E-3</v>
      </c>
      <c r="J247">
        <v>52</v>
      </c>
      <c r="L247" s="54">
        <f t="shared" si="3"/>
        <v>5.0000000000000279E-3</v>
      </c>
      <c r="M247" s="58">
        <f t="shared" si="4"/>
        <v>22.469041066661635</v>
      </c>
    </row>
    <row r="248" spans="1:13" ht="15">
      <c r="A248" s="46">
        <v>579.65</v>
      </c>
      <c r="B248" s="46">
        <v>582.85</v>
      </c>
      <c r="C248" s="46">
        <v>573.08000000000004</v>
      </c>
      <c r="D248" s="46">
        <v>573.21</v>
      </c>
      <c r="E248" s="46">
        <v>1416519</v>
      </c>
      <c r="F248" s="46" t="s">
        <v>278</v>
      </c>
      <c r="G248" s="25">
        <f t="shared" si="5"/>
        <v>1.1234974965544708E-2</v>
      </c>
      <c r="I248" s="55">
        <v>7.0000000000000279E-3</v>
      </c>
      <c r="J248">
        <v>35</v>
      </c>
      <c r="L248" s="54">
        <f t="shared" si="3"/>
        <v>6.0000000000000279E-3</v>
      </c>
      <c r="M248" s="58">
        <f t="shared" si="4"/>
        <v>22.086469599328872</v>
      </c>
    </row>
    <row r="249" spans="1:13" ht="15">
      <c r="A249" s="46">
        <v>578.54999999999995</v>
      </c>
      <c r="B249" s="46">
        <v>583.57590000000005</v>
      </c>
      <c r="C249" s="46">
        <v>563.26760000000002</v>
      </c>
      <c r="D249" s="46">
        <v>564.87</v>
      </c>
      <c r="E249" s="46">
        <v>1830778</v>
      </c>
      <c r="F249" s="46" t="s">
        <v>279</v>
      </c>
      <c r="G249" s="25">
        <f t="shared" si="5"/>
        <v>2.4217961654893871E-2</v>
      </c>
      <c r="I249" s="55">
        <v>8.0000000000000279E-3</v>
      </c>
      <c r="J249">
        <v>26</v>
      </c>
      <c r="L249" s="54">
        <f t="shared" si="3"/>
        <v>7.0000000000000279E-3</v>
      </c>
      <c r="M249" s="58">
        <f t="shared" si="4"/>
        <v>21.636651407336565</v>
      </c>
    </row>
    <row r="250" spans="1:13" ht="15">
      <c r="A250" s="46">
        <v>571.88</v>
      </c>
      <c r="B250" s="46">
        <v>586.89</v>
      </c>
      <c r="C250" s="46">
        <v>570.86</v>
      </c>
      <c r="D250" s="46">
        <v>576.74</v>
      </c>
      <c r="E250" s="46">
        <v>1828397</v>
      </c>
      <c r="F250" s="46" t="s">
        <v>280</v>
      </c>
      <c r="G250" s="25">
        <f t="shared" si="5"/>
        <v>-8.4266740645698723E-3</v>
      </c>
      <c r="I250" s="55">
        <v>9.0000000000000288E-3</v>
      </c>
      <c r="J250">
        <v>23</v>
      </c>
      <c r="L250" s="54">
        <f t="shared" si="3"/>
        <v>8.0000000000000279E-3</v>
      </c>
      <c r="M250" s="58">
        <f t="shared" si="4"/>
        <v>21.123981422129361</v>
      </c>
    </row>
    <row r="251" spans="1:13" ht="15">
      <c r="A251" s="46">
        <v>580.17999999999995</v>
      </c>
      <c r="B251" s="46">
        <v>584.42269999999996</v>
      </c>
      <c r="C251" s="46">
        <v>577.35</v>
      </c>
      <c r="D251" s="46">
        <v>581.24</v>
      </c>
      <c r="E251" s="46">
        <v>1986680</v>
      </c>
      <c r="F251" s="46" t="s">
        <v>281</v>
      </c>
      <c r="G251" s="25">
        <f t="shared" si="5"/>
        <v>-1.8236872892437583E-3</v>
      </c>
      <c r="I251" s="55">
        <v>1.000000000000003E-2</v>
      </c>
      <c r="J251">
        <v>31</v>
      </c>
      <c r="L251" s="54">
        <f t="shared" si="3"/>
        <v>9.0000000000000288E-3</v>
      </c>
      <c r="M251" s="58">
        <f t="shared" si="4"/>
        <v>20.553391184389771</v>
      </c>
    </row>
    <row r="252" spans="1:13" ht="15">
      <c r="A252" s="46">
        <v>572.71</v>
      </c>
      <c r="B252" s="46">
        <v>578.41</v>
      </c>
      <c r="C252" s="46">
        <v>569.49</v>
      </c>
      <c r="D252" s="46">
        <v>571.11</v>
      </c>
      <c r="E252" s="46">
        <v>1597890</v>
      </c>
      <c r="F252" s="46" t="s">
        <v>282</v>
      </c>
      <c r="G252" s="25">
        <f t="shared" si="5"/>
        <v>2.8015618707428747E-3</v>
      </c>
      <c r="I252" s="55">
        <v>1.1000000000000031E-2</v>
      </c>
      <c r="J252">
        <v>28</v>
      </c>
      <c r="L252" s="54">
        <f t="shared" si="3"/>
        <v>1.000000000000003E-2</v>
      </c>
      <c r="M252" s="58">
        <f t="shared" si="4"/>
        <v>19.93026997692381</v>
      </c>
    </row>
    <row r="253" spans="1:13" ht="15">
      <c r="A253" s="46">
        <v>574.14</v>
      </c>
      <c r="B253" s="46">
        <v>584.48</v>
      </c>
      <c r="C253" s="46">
        <v>563.85</v>
      </c>
      <c r="D253" s="46">
        <v>566.6</v>
      </c>
      <c r="E253" s="46">
        <v>2332427</v>
      </c>
      <c r="F253" s="46" t="s">
        <v>283</v>
      </c>
      <c r="G253" s="25">
        <f t="shared" si="5"/>
        <v>1.3307447935051009E-2</v>
      </c>
      <c r="I253" s="55">
        <v>1.2000000000000031E-2</v>
      </c>
      <c r="J253">
        <v>19</v>
      </c>
      <c r="L253" s="54">
        <f t="shared" si="3"/>
        <v>1.1000000000000031E-2</v>
      </c>
      <c r="M253" s="58">
        <f t="shared" ref="M253:M284" si="6">_xlfn.NORM.DIST(L253,$K$179,$K$181,FALSE)</f>
        <v>19.260380288259082</v>
      </c>
    </row>
    <row r="254" spans="1:13" ht="15">
      <c r="A254" s="46">
        <v>573.48</v>
      </c>
      <c r="B254" s="46">
        <v>579.34</v>
      </c>
      <c r="C254" s="46">
        <v>563.35</v>
      </c>
      <c r="D254" s="46">
        <v>574.67999999999995</v>
      </c>
      <c r="E254" s="46">
        <v>2441593</v>
      </c>
      <c r="F254" s="46" t="s">
        <v>284</v>
      </c>
      <c r="G254" s="25">
        <f t="shared" si="5"/>
        <v>-2.0881186051366907E-3</v>
      </c>
      <c r="I254" s="55">
        <v>1.3000000000000032E-2</v>
      </c>
      <c r="J254">
        <v>22</v>
      </c>
      <c r="L254" s="54">
        <f t="shared" si="3"/>
        <v>1.2000000000000031E-2</v>
      </c>
      <c r="M254" s="58">
        <f t="shared" si="6"/>
        <v>18.549769456390205</v>
      </c>
    </row>
    <row r="255" spans="1:13" ht="15">
      <c r="A255" s="46">
        <v>584.04999999999995</v>
      </c>
      <c r="B255" s="46">
        <v>591.91</v>
      </c>
      <c r="C255" s="46">
        <v>573.32000000000005</v>
      </c>
      <c r="D255" s="46">
        <v>581.9</v>
      </c>
      <c r="E255" s="46">
        <v>4357650</v>
      </c>
      <c r="F255" s="46" t="s">
        <v>285</v>
      </c>
      <c r="G255" s="25">
        <f t="shared" si="5"/>
        <v>3.6947929197457263E-3</v>
      </c>
      <c r="I255" s="55">
        <v>1.4000000000000033E-2</v>
      </c>
      <c r="J255">
        <v>26</v>
      </c>
      <c r="L255" s="54">
        <f t="shared" si="3"/>
        <v>1.3000000000000032E-2</v>
      </c>
      <c r="M255" s="58">
        <f t="shared" si="6"/>
        <v>17.804679378506165</v>
      </c>
    </row>
    <row r="256" spans="1:13" ht="15">
      <c r="A256" s="46">
        <v>608.66</v>
      </c>
      <c r="B256" s="46">
        <v>616</v>
      </c>
      <c r="C256" s="46">
        <v>602</v>
      </c>
      <c r="D256" s="46">
        <v>612</v>
      </c>
      <c r="E256" s="46">
        <v>2322245</v>
      </c>
      <c r="F256" s="46" t="s">
        <v>286</v>
      </c>
      <c r="G256" s="25">
        <f t="shared" si="5"/>
        <v>-5.4575163398693505E-3</v>
      </c>
      <c r="I256" s="55">
        <v>1.5000000000000034E-2</v>
      </c>
      <c r="J256">
        <v>19</v>
      </c>
      <c r="L256" s="54">
        <f t="shared" si="3"/>
        <v>1.4000000000000033E-2</v>
      </c>
      <c r="M256" s="58">
        <f t="shared" si="6"/>
        <v>17.031456157511911</v>
      </c>
    </row>
    <row r="257" spans="1:13" ht="15">
      <c r="A257" s="46">
        <v>610.45000000000005</v>
      </c>
      <c r="B257" s="46">
        <v>614.72</v>
      </c>
      <c r="C257" s="46">
        <v>602.45000000000005</v>
      </c>
      <c r="D257" s="46">
        <v>608.02499999999998</v>
      </c>
      <c r="E257" s="46">
        <v>2100566</v>
      </c>
      <c r="F257" s="46" t="s">
        <v>287</v>
      </c>
      <c r="G257" s="25">
        <f t="shared" si="5"/>
        <v>3.9883228485670941E-3</v>
      </c>
      <c r="I257" s="55">
        <v>1.6000000000000035E-2</v>
      </c>
      <c r="J257">
        <v>14</v>
      </c>
      <c r="L257" s="54">
        <f t="shared" si="3"/>
        <v>1.5000000000000034E-2</v>
      </c>
      <c r="M257" s="58">
        <f t="shared" si="6"/>
        <v>16.23646149180313</v>
      </c>
    </row>
    <row r="258" spans="1:13" ht="15">
      <c r="A258" s="46">
        <v>604.12</v>
      </c>
      <c r="B258" s="46">
        <v>606.27</v>
      </c>
      <c r="C258" s="46">
        <v>593.81500000000005</v>
      </c>
      <c r="D258" s="46">
        <v>598.11</v>
      </c>
      <c r="E258" s="46">
        <v>1993501</v>
      </c>
      <c r="F258" s="46" t="s">
        <v>288</v>
      </c>
      <c r="G258" s="25">
        <f t="shared" si="5"/>
        <v>1.0048318871110684E-2</v>
      </c>
      <c r="I258" s="55">
        <v>1.7000000000000036E-2</v>
      </c>
      <c r="J258">
        <v>13</v>
      </c>
      <c r="L258" s="54">
        <f t="shared" si="3"/>
        <v>1.6000000000000035E-2</v>
      </c>
      <c r="M258" s="58">
        <f t="shared" si="6"/>
        <v>15.425987504728331</v>
      </c>
    </row>
    <row r="259" spans="1:13" ht="15">
      <c r="A259" s="46">
        <v>592.64</v>
      </c>
      <c r="B259" s="46">
        <v>597.67999999999995</v>
      </c>
      <c r="C259" s="46">
        <v>583.24</v>
      </c>
      <c r="D259" s="46">
        <v>597.67999999999995</v>
      </c>
      <c r="E259" s="46">
        <v>2635153</v>
      </c>
      <c r="F259" s="46" t="s">
        <v>289</v>
      </c>
      <c r="G259" s="25">
        <f t="shared" si="5"/>
        <v>-8.4326060768303845E-3</v>
      </c>
      <c r="I259" s="55">
        <v>1.8000000000000037E-2</v>
      </c>
      <c r="J259">
        <v>21</v>
      </c>
      <c r="L259" s="54">
        <f t="shared" si="3"/>
        <v>1.7000000000000036E-2</v>
      </c>
      <c r="M259" s="58">
        <f t="shared" si="6"/>
        <v>14.606176559519362</v>
      </c>
    </row>
    <row r="260" spans="1:13" ht="15">
      <c r="A260" s="46">
        <v>584.08000000000004</v>
      </c>
      <c r="B260" s="46">
        <v>585.5</v>
      </c>
      <c r="C260" s="46">
        <v>573</v>
      </c>
      <c r="D260" s="46">
        <v>582.6</v>
      </c>
      <c r="E260" s="46">
        <v>2119549</v>
      </c>
      <c r="F260" s="46" t="s">
        <v>290</v>
      </c>
      <c r="G260" s="25">
        <f t="shared" si="5"/>
        <v>2.5403364229317216E-3</v>
      </c>
      <c r="I260" s="55">
        <v>1.9000000000000038E-2</v>
      </c>
      <c r="J260">
        <v>18</v>
      </c>
      <c r="L260" s="54">
        <f t="shared" si="3"/>
        <v>1.8000000000000037E-2</v>
      </c>
      <c r="M260" s="58">
        <f t="shared" si="6"/>
        <v>13.782947420377253</v>
      </c>
    </row>
    <row r="261" spans="1:13" ht="15">
      <c r="A261" s="46">
        <v>580.11</v>
      </c>
      <c r="B261" s="46">
        <v>584.6</v>
      </c>
      <c r="C261" s="46">
        <v>549.16999999999996</v>
      </c>
      <c r="D261" s="46">
        <v>555.04999999999995</v>
      </c>
      <c r="E261" s="46">
        <v>3553382</v>
      </c>
      <c r="F261" s="46" t="s">
        <v>291</v>
      </c>
      <c r="G261" s="25">
        <f t="shared" si="5"/>
        <v>4.5149085667957944E-2</v>
      </c>
      <c r="I261" s="55">
        <v>2.0000000000000039E-2</v>
      </c>
      <c r="J261">
        <v>16</v>
      </c>
      <c r="L261" s="54">
        <f t="shared" si="3"/>
        <v>1.9000000000000038E-2</v>
      </c>
      <c r="M261" s="58">
        <f t="shared" si="6"/>
        <v>12.961928907923628</v>
      </c>
    </row>
    <row r="262" spans="1:13" ht="15">
      <c r="A262" s="46">
        <v>538.88</v>
      </c>
      <c r="B262" s="46">
        <v>544.54999999999995</v>
      </c>
      <c r="C262" s="46">
        <v>535.59</v>
      </c>
      <c r="D262" s="46">
        <v>539.28</v>
      </c>
      <c r="E262" s="46">
        <v>1355120</v>
      </c>
      <c r="F262" s="46" t="s">
        <v>292</v>
      </c>
      <c r="G262" s="25">
        <f t="shared" si="5"/>
        <v>-7.4172971369224072E-4</v>
      </c>
      <c r="I262" s="55">
        <v>2.1000000000000039E-2</v>
      </c>
      <c r="J262">
        <v>13</v>
      </c>
      <c r="L262" s="54">
        <f t="shared" si="3"/>
        <v>2.0000000000000039E-2</v>
      </c>
      <c r="M262" s="58">
        <f t="shared" si="6"/>
        <v>12.148401965004703</v>
      </c>
    </row>
    <row r="263" spans="1:13" ht="15">
      <c r="A263" s="46">
        <v>539.75</v>
      </c>
      <c r="B263" s="46">
        <v>543.75440000000003</v>
      </c>
      <c r="C263" s="46">
        <v>530.25</v>
      </c>
      <c r="D263" s="46">
        <v>543.4</v>
      </c>
      <c r="E263" s="46">
        <v>1461405</v>
      </c>
      <c r="F263" s="46" t="s">
        <v>293</v>
      </c>
      <c r="G263" s="25">
        <f t="shared" si="5"/>
        <v>-6.7169672432829675E-3</v>
      </c>
      <c r="I263" s="55">
        <v>2.200000000000004E-2</v>
      </c>
      <c r="J263">
        <v>7</v>
      </c>
      <c r="L263" s="54">
        <f t="shared" si="3"/>
        <v>2.1000000000000039E-2</v>
      </c>
      <c r="M263" s="58">
        <f t="shared" si="6"/>
        <v>11.347250804770601</v>
      </c>
    </row>
    <row r="264" spans="1:13" ht="15">
      <c r="A264" s="46">
        <v>547.47</v>
      </c>
      <c r="B264" s="46">
        <v>550.17999999999995</v>
      </c>
      <c r="C264" s="46">
        <v>537.16999999999996</v>
      </c>
      <c r="D264" s="46">
        <v>540.55999999999995</v>
      </c>
      <c r="E264" s="46">
        <v>1732379</v>
      </c>
      <c r="F264" s="46" t="s">
        <v>294</v>
      </c>
      <c r="G264" s="25">
        <f t="shared" si="5"/>
        <v>1.2783039810567054E-2</v>
      </c>
      <c r="I264" s="55">
        <v>2.3000000000000041E-2</v>
      </c>
      <c r="J264">
        <v>5</v>
      </c>
      <c r="L264" s="54">
        <f t="shared" si="3"/>
        <v>2.200000000000004E-2</v>
      </c>
      <c r="M264" s="58">
        <f t="shared" si="6"/>
        <v>10.562923564925194</v>
      </c>
    </row>
    <row r="265" spans="1:13" ht="15">
      <c r="A265" s="46">
        <v>544.02</v>
      </c>
      <c r="B265" s="46">
        <v>547.47270000000003</v>
      </c>
      <c r="C265" s="46">
        <v>532</v>
      </c>
      <c r="D265" s="46">
        <v>533.33000000000004</v>
      </c>
      <c r="E265" s="46">
        <v>1359579</v>
      </c>
      <c r="F265" s="46" t="s">
        <v>295</v>
      </c>
      <c r="G265" s="25">
        <f t="shared" si="5"/>
        <v>2.0043875274220246E-2</v>
      </c>
      <c r="I265" s="55">
        <v>2.4000000000000042E-2</v>
      </c>
      <c r="J265">
        <v>7</v>
      </c>
      <c r="L265" s="54">
        <f t="shared" si="3"/>
        <v>2.3000000000000041E-2</v>
      </c>
      <c r="M265" s="58">
        <f t="shared" si="6"/>
        <v>9.799402647615123</v>
      </c>
    </row>
    <row r="266" spans="1:13" ht="15">
      <c r="A266" s="46">
        <v>531.88</v>
      </c>
      <c r="B266" s="46">
        <v>550</v>
      </c>
      <c r="C266" s="46">
        <v>530.45000000000005</v>
      </c>
      <c r="D266" s="46">
        <v>547.67499999999995</v>
      </c>
      <c r="E266" s="46">
        <v>1589730</v>
      </c>
      <c r="F266" s="46" t="s">
        <v>296</v>
      </c>
      <c r="G266" s="25">
        <f t="shared" si="5"/>
        <v>-2.8840096772720925E-2</v>
      </c>
      <c r="I266" s="55">
        <v>2.5000000000000043E-2</v>
      </c>
      <c r="J266">
        <v>5</v>
      </c>
      <c r="L266" s="54">
        <f t="shared" si="3"/>
        <v>2.4000000000000042E-2</v>
      </c>
      <c r="M266" s="58">
        <f t="shared" si="6"/>
        <v>9.0601846905986836</v>
      </c>
    </row>
    <row r="267" spans="1:13" ht="15">
      <c r="A267" s="46">
        <v>542.37</v>
      </c>
      <c r="B267" s="46">
        <v>543.74</v>
      </c>
      <c r="C267" s="46">
        <v>532.15</v>
      </c>
      <c r="D267" s="46">
        <v>535.29</v>
      </c>
      <c r="E267" s="46">
        <v>1229214</v>
      </c>
      <c r="F267" s="46" t="s">
        <v>297</v>
      </c>
      <c r="G267" s="25">
        <f t="shared" si="5"/>
        <v>1.3226475368491863E-2</v>
      </c>
      <c r="I267" s="55">
        <v>2.6000000000000044E-2</v>
      </c>
      <c r="J267">
        <v>6</v>
      </c>
      <c r="L267" s="54">
        <f t="shared" ref="L267:L295" si="7">L266+0.001</f>
        <v>2.5000000000000043E-2</v>
      </c>
      <c r="M267" s="58">
        <f t="shared" si="6"/>
        <v>8.3482698983176462</v>
      </c>
    </row>
    <row r="268" spans="1:13" ht="15">
      <c r="A268" s="46">
        <v>535.29499999999996</v>
      </c>
      <c r="B268" s="46">
        <v>536.65</v>
      </c>
      <c r="C268" s="46">
        <v>525.34500000000003</v>
      </c>
      <c r="D268" s="46">
        <v>527.60500000000002</v>
      </c>
      <c r="E268" s="46">
        <v>1250986</v>
      </c>
      <c r="F268" s="46" t="s">
        <v>298</v>
      </c>
      <c r="G268" s="25">
        <f t="shared" si="5"/>
        <v>1.4575297808019139E-2</v>
      </c>
      <c r="I268" s="55">
        <v>2.7000000000000045E-2</v>
      </c>
      <c r="J268">
        <v>3</v>
      </c>
      <c r="L268" s="54">
        <f t="shared" si="7"/>
        <v>2.6000000000000044E-2</v>
      </c>
      <c r="M268" s="58">
        <f t="shared" si="6"/>
        <v>7.6661602665412465</v>
      </c>
    </row>
    <row r="269" spans="1:13" ht="15">
      <c r="A269" s="46">
        <v>524.03</v>
      </c>
      <c r="B269" s="46">
        <v>528.89</v>
      </c>
      <c r="C269" s="46">
        <v>520.91750000000002</v>
      </c>
      <c r="D269" s="46">
        <v>521.19000000000005</v>
      </c>
      <c r="E269" s="46">
        <v>907705</v>
      </c>
      <c r="F269" s="46" t="s">
        <v>299</v>
      </c>
      <c r="G269" s="25">
        <f t="shared" si="5"/>
        <v>5.4490684779062715E-3</v>
      </c>
      <c r="I269" s="55">
        <v>2.8000000000000046E-2</v>
      </c>
      <c r="J269">
        <v>10</v>
      </c>
      <c r="L269" s="54">
        <f t="shared" si="7"/>
        <v>2.7000000000000045E-2</v>
      </c>
      <c r="M269" s="58">
        <f t="shared" si="6"/>
        <v>7.0158660655332872</v>
      </c>
    </row>
    <row r="270" spans="1:13" ht="15">
      <c r="A270" s="46">
        <v>521.96</v>
      </c>
      <c r="B270" s="46">
        <v>529.80999999999995</v>
      </c>
      <c r="C270" s="46">
        <v>520.01009999999997</v>
      </c>
      <c r="D270" s="46">
        <v>527.77</v>
      </c>
      <c r="E270" s="46">
        <v>884011</v>
      </c>
      <c r="F270" s="46" t="s">
        <v>300</v>
      </c>
      <c r="G270" s="25">
        <f t="shared" si="5"/>
        <v>-1.1008583284385143E-2</v>
      </c>
      <c r="I270" s="55">
        <v>2.9000000000000047E-2</v>
      </c>
      <c r="J270">
        <v>2</v>
      </c>
      <c r="L270" s="54">
        <f t="shared" si="7"/>
        <v>2.8000000000000046E-2</v>
      </c>
      <c r="M270" s="58">
        <f t="shared" si="6"/>
        <v>6.398919807224984</v>
      </c>
    </row>
    <row r="271" spans="1:13" ht="15">
      <c r="A271" s="46">
        <v>526.96</v>
      </c>
      <c r="B271" s="46">
        <v>529.02</v>
      </c>
      <c r="C271" s="46">
        <v>520.55999999999995</v>
      </c>
      <c r="D271" s="46">
        <v>528.42999999999995</v>
      </c>
      <c r="E271" s="46">
        <v>900000</v>
      </c>
      <c r="F271" s="46" t="s">
        <v>301</v>
      </c>
      <c r="G271" s="25">
        <f t="shared" si="5"/>
        <v>-2.7818254073385118E-3</v>
      </c>
      <c r="I271" s="55">
        <v>3.0000000000000047E-2</v>
      </c>
      <c r="J271">
        <v>5</v>
      </c>
      <c r="L271" s="54">
        <f t="shared" si="7"/>
        <v>2.9000000000000047E-2</v>
      </c>
      <c r="M271" s="58">
        <f t="shared" si="6"/>
        <v>5.8163968134951025</v>
      </c>
    </row>
    <row r="272" spans="1:13" ht="15">
      <c r="A272" s="46">
        <v>534.88</v>
      </c>
      <c r="B272" s="46">
        <v>537.34</v>
      </c>
      <c r="C272" s="46">
        <v>529.30999999999995</v>
      </c>
      <c r="D272" s="46">
        <v>536.01</v>
      </c>
      <c r="E272" s="46">
        <v>1013217</v>
      </c>
      <c r="F272" s="46" t="s">
        <v>302</v>
      </c>
      <c r="G272" s="25">
        <f t="shared" si="5"/>
        <v>-2.1081696237010839E-3</v>
      </c>
      <c r="I272" s="55">
        <v>3.1000000000000048E-2</v>
      </c>
      <c r="J272">
        <v>3</v>
      </c>
      <c r="L272" s="54">
        <f t="shared" si="7"/>
        <v>3.0000000000000047E-2</v>
      </c>
      <c r="M272" s="58">
        <f t="shared" si="6"/>
        <v>5.2689414260473972</v>
      </c>
    </row>
    <row r="273" spans="1:13" ht="15">
      <c r="A273" s="46">
        <v>538.83000000000004</v>
      </c>
      <c r="B273" s="46">
        <v>540.13</v>
      </c>
      <c r="C273" s="46">
        <v>533.99</v>
      </c>
      <c r="D273" s="46">
        <v>534.86</v>
      </c>
      <c r="E273" s="46">
        <v>767024</v>
      </c>
      <c r="F273" s="46" t="s">
        <v>303</v>
      </c>
      <c r="G273" s="25">
        <f t="shared" si="5"/>
        <v>7.4225030849195406E-3</v>
      </c>
      <c r="I273" s="55">
        <v>3.2000000000000049E-2</v>
      </c>
      <c r="J273">
        <v>5</v>
      </c>
      <c r="L273" s="54">
        <f t="shared" si="7"/>
        <v>3.1000000000000048E-2</v>
      </c>
      <c r="M273" s="58">
        <f t="shared" si="6"/>
        <v>4.7567978531301014</v>
      </c>
    </row>
    <row r="274" spans="1:13" ht="15">
      <c r="A274" s="46">
        <v>537.02</v>
      </c>
      <c r="B274" s="46">
        <v>537.36</v>
      </c>
      <c r="C274" s="46">
        <v>527.26</v>
      </c>
      <c r="D274" s="46">
        <v>528.005</v>
      </c>
      <c r="E274" s="46">
        <v>629180</v>
      </c>
      <c r="F274" s="46" t="s">
        <v>304</v>
      </c>
      <c r="G274" s="25">
        <f t="shared" si="5"/>
        <v>1.7073701953580045E-2</v>
      </c>
      <c r="I274" s="55">
        <v>3.300000000000005E-2</v>
      </c>
      <c r="J274">
        <v>2</v>
      </c>
      <c r="L274" s="54">
        <f t="shared" si="7"/>
        <v>3.2000000000000049E-2</v>
      </c>
      <c r="M274" s="58">
        <f t="shared" si="6"/>
        <v>4.2798446330787181</v>
      </c>
    </row>
    <row r="275" spans="1:13" ht="15">
      <c r="A275" s="46">
        <v>527.22</v>
      </c>
      <c r="B275" s="46">
        <v>527.94240000000002</v>
      </c>
      <c r="C275" s="46">
        <v>520.03</v>
      </c>
      <c r="D275" s="46">
        <v>524.88</v>
      </c>
      <c r="E275" s="46">
        <v>1070062</v>
      </c>
      <c r="F275" s="46" t="s">
        <v>305</v>
      </c>
      <c r="G275" s="25">
        <f t="shared" si="5"/>
        <v>4.4581618655692434E-3</v>
      </c>
      <c r="I275" s="55">
        <v>3.4000000000000051E-2</v>
      </c>
      <c r="J275">
        <v>3</v>
      </c>
      <c r="L275" s="54">
        <f t="shared" si="7"/>
        <v>3.300000000000005E-2</v>
      </c>
      <c r="M275" s="58">
        <f t="shared" si="6"/>
        <v>3.8376317071487382</v>
      </c>
    </row>
    <row r="276" spans="1:13" ht="15">
      <c r="A276" s="46">
        <v>524.42999999999995</v>
      </c>
      <c r="B276" s="46">
        <v>530.97379999999998</v>
      </c>
      <c r="C276" s="46">
        <v>516.17999999999995</v>
      </c>
      <c r="D276" s="46">
        <v>521.45000000000005</v>
      </c>
      <c r="E276" s="46">
        <v>3934186</v>
      </c>
      <c r="F276" s="46" t="s">
        <v>306</v>
      </c>
      <c r="G276" s="25">
        <f t="shared" si="5"/>
        <v>5.7148336369736707E-3</v>
      </c>
      <c r="I276" s="55">
        <v>3.5000000000000052E-2</v>
      </c>
      <c r="J276">
        <v>2</v>
      </c>
      <c r="L276" s="54">
        <f t="shared" si="7"/>
        <v>3.4000000000000051E-2</v>
      </c>
      <c r="M276" s="58">
        <f t="shared" si="6"/>
        <v>3.4294191314140887</v>
      </c>
    </row>
    <row r="277" spans="1:13" ht="15">
      <c r="A277" s="46">
        <v>523.91</v>
      </c>
      <c r="B277" s="46">
        <v>536.5</v>
      </c>
      <c r="C277" s="46">
        <v>523.41</v>
      </c>
      <c r="D277" s="46">
        <v>532.73500000000001</v>
      </c>
      <c r="E277" s="46">
        <v>2066806</v>
      </c>
      <c r="F277" s="46" t="s">
        <v>307</v>
      </c>
      <c r="G277" s="25">
        <f t="shared" si="5"/>
        <v>-1.656545937473608E-2</v>
      </c>
      <c r="I277" s="55">
        <v>3.6000000000000053E-2</v>
      </c>
      <c r="J277">
        <v>3</v>
      </c>
      <c r="L277" s="54">
        <f t="shared" si="7"/>
        <v>3.5000000000000052E-2</v>
      </c>
      <c r="M277" s="58">
        <f t="shared" si="6"/>
        <v>3.0542165161897912</v>
      </c>
    </row>
    <row r="278" spans="1:13" ht="15">
      <c r="A278" s="46">
        <v>526.47</v>
      </c>
      <c r="B278" s="46">
        <v>547.18899999999996</v>
      </c>
      <c r="C278" s="46">
        <v>526.23</v>
      </c>
      <c r="D278" s="46">
        <v>543.12</v>
      </c>
      <c r="E278" s="46">
        <v>1488083</v>
      </c>
      <c r="F278" s="46" t="s">
        <v>308</v>
      </c>
      <c r="G278" s="25">
        <f t="shared" si="5"/>
        <v>-3.0656208572691024E-2</v>
      </c>
      <c r="I278" s="55">
        <v>3.7000000000000054E-2</v>
      </c>
      <c r="J278">
        <v>3</v>
      </c>
      <c r="L278" s="54">
        <f t="shared" si="7"/>
        <v>3.6000000000000053E-2</v>
      </c>
      <c r="M278" s="58">
        <f t="shared" si="6"/>
        <v>2.7108223576896098</v>
      </c>
    </row>
    <row r="279" spans="1:13" ht="15">
      <c r="A279" s="46">
        <v>545.16</v>
      </c>
      <c r="B279" s="46">
        <v>546.01</v>
      </c>
      <c r="C279" s="46">
        <v>531.41999999999996</v>
      </c>
      <c r="D279" s="46">
        <v>539.495</v>
      </c>
      <c r="E279" s="46">
        <v>1476040</v>
      </c>
      <c r="F279" s="46" t="s">
        <v>309</v>
      </c>
      <c r="G279" s="25">
        <f t="shared" si="5"/>
        <v>1.0500560709552298E-2</v>
      </c>
      <c r="I279" s="55">
        <v>3.8000000000000055E-2</v>
      </c>
      <c r="J279">
        <v>3</v>
      </c>
      <c r="L279" s="54">
        <f t="shared" si="7"/>
        <v>3.7000000000000054E-2</v>
      </c>
      <c r="M279" s="58">
        <f t="shared" si="6"/>
        <v>2.3978625164647771</v>
      </c>
    </row>
    <row r="280" spans="1:13" ht="15">
      <c r="A280" s="46">
        <v>541.99</v>
      </c>
      <c r="B280" s="46">
        <v>547.9</v>
      </c>
      <c r="C280" s="46">
        <v>539.11</v>
      </c>
      <c r="D280" s="46">
        <v>539.97500000000002</v>
      </c>
      <c r="E280" s="46">
        <v>1534879</v>
      </c>
      <c r="F280" s="46" t="s">
        <v>310</v>
      </c>
      <c r="G280" s="25">
        <f t="shared" si="5"/>
        <v>3.7316542432519473E-3</v>
      </c>
      <c r="I280" s="55">
        <v>3.9000000000000055E-2</v>
      </c>
      <c r="J280">
        <v>2</v>
      </c>
      <c r="L280" s="54">
        <f t="shared" si="7"/>
        <v>3.8000000000000055E-2</v>
      </c>
      <c r="M280" s="58">
        <f t="shared" si="6"/>
        <v>2.1138271965759174</v>
      </c>
    </row>
    <row r="281" spans="1:13" ht="15">
      <c r="A281" s="46">
        <v>539.58000000000004</v>
      </c>
      <c r="B281" s="46">
        <v>547.1</v>
      </c>
      <c r="C281" s="46">
        <v>539.03</v>
      </c>
      <c r="D281" s="46">
        <v>542.59</v>
      </c>
      <c r="E281" s="46">
        <v>1071762</v>
      </c>
      <c r="F281" s="46" t="s">
        <v>311</v>
      </c>
      <c r="G281" s="25">
        <f t="shared" si="5"/>
        <v>-5.5474667797047461E-3</v>
      </c>
      <c r="I281" s="55">
        <v>4.0000000000000056E-2</v>
      </c>
      <c r="J281">
        <v>2</v>
      </c>
      <c r="L281" s="54">
        <f t="shared" si="7"/>
        <v>3.9000000000000055E-2</v>
      </c>
      <c r="M281" s="58">
        <f t="shared" si="6"/>
        <v>1.8571058845348578</v>
      </c>
    </row>
    <row r="282" spans="1:13" ht="15">
      <c r="A282" s="46">
        <v>544.72</v>
      </c>
      <c r="B282" s="46">
        <v>550.47</v>
      </c>
      <c r="C282" s="46">
        <v>541.37</v>
      </c>
      <c r="D282" s="46">
        <v>543.1</v>
      </c>
      <c r="E282" s="46">
        <v>1213291</v>
      </c>
      <c r="F282" s="46" t="s">
        <v>312</v>
      </c>
      <c r="G282" s="25">
        <f t="shared" si="5"/>
        <v>2.9828760817529609E-3</v>
      </c>
      <c r="I282" s="55">
        <v>4.1000000000000057E-2</v>
      </c>
      <c r="J282">
        <v>1</v>
      </c>
      <c r="L282" s="54">
        <f t="shared" si="7"/>
        <v>4.0000000000000056E-2</v>
      </c>
      <c r="M282" s="58">
        <f t="shared" si="6"/>
        <v>1.6260198141669071</v>
      </c>
    </row>
    <row r="283" spans="1:13" ht="15">
      <c r="A283" s="46">
        <v>543.6</v>
      </c>
      <c r="B283" s="46">
        <v>548.5299</v>
      </c>
      <c r="C283" s="46">
        <v>538.22</v>
      </c>
      <c r="D283" s="46">
        <v>538.22</v>
      </c>
      <c r="E283" s="46">
        <v>999713</v>
      </c>
      <c r="F283" s="46" t="s">
        <v>313</v>
      </c>
      <c r="G283" s="25">
        <f t="shared" si="5"/>
        <v>9.9959124521571407E-3</v>
      </c>
      <c r="I283" s="55">
        <v>4.2000000000000058E-2</v>
      </c>
      <c r="J283">
        <v>0</v>
      </c>
      <c r="L283" s="54">
        <f t="shared" si="7"/>
        <v>4.1000000000000057E-2</v>
      </c>
      <c r="M283" s="58">
        <f t="shared" si="6"/>
        <v>1.418851629382655</v>
      </c>
    </row>
    <row r="284" spans="1:13" ht="15">
      <c r="A284" s="46">
        <v>538.09</v>
      </c>
      <c r="B284" s="46">
        <v>543.32500000000005</v>
      </c>
      <c r="C284" s="46">
        <v>536.67999999999995</v>
      </c>
      <c r="D284" s="46">
        <v>540.15499999999997</v>
      </c>
      <c r="E284" s="46">
        <v>1047954</v>
      </c>
      <c r="F284" s="46" t="s">
        <v>314</v>
      </c>
      <c r="G284" s="25">
        <f t="shared" si="5"/>
        <v>-3.8229767381583457E-3</v>
      </c>
      <c r="I284" s="55">
        <v>4.3000000000000059E-2</v>
      </c>
      <c r="J284">
        <v>0</v>
      </c>
      <c r="L284" s="54">
        <f t="shared" si="7"/>
        <v>4.2000000000000058E-2</v>
      </c>
      <c r="M284" s="58">
        <f t="shared" si="6"/>
        <v>1.2338720185277707</v>
      </c>
    </row>
    <row r="285" spans="1:13" ht="15">
      <c r="A285" s="46">
        <v>538.86</v>
      </c>
      <c r="B285" s="46">
        <v>553.5607</v>
      </c>
      <c r="C285" s="46">
        <v>532.14</v>
      </c>
      <c r="D285" s="46">
        <v>552.30999999999995</v>
      </c>
      <c r="E285" s="46">
        <v>1429189</v>
      </c>
      <c r="F285" s="46" t="s">
        <v>315</v>
      </c>
      <c r="G285" s="25">
        <f t="shared" si="5"/>
        <v>-2.435226593760742E-2</v>
      </c>
      <c r="I285" s="55">
        <v>4.400000000000006E-2</v>
      </c>
      <c r="J285">
        <v>2</v>
      </c>
      <c r="L285" s="54">
        <f t="shared" si="7"/>
        <v>4.3000000000000059E-2</v>
      </c>
      <c r="M285" s="58">
        <f t="shared" ref="M285:M295" si="8">_xlfn.NORM.DIST(L285,$K$179,$K$181,FALSE)</f>
        <v>1.0693631890891333</v>
      </c>
    </row>
    <row r="286" spans="1:13" ht="15">
      <c r="A286" s="46">
        <v>550.41</v>
      </c>
      <c r="B286" s="46">
        <v>556.23</v>
      </c>
      <c r="C286" s="46">
        <v>548.21</v>
      </c>
      <c r="D286" s="46">
        <v>548.21</v>
      </c>
      <c r="E286" s="46">
        <v>1026321</v>
      </c>
      <c r="F286" s="46" t="s">
        <v>316</v>
      </c>
      <c r="G286" s="25">
        <f t="shared" si="5"/>
        <v>4.0130606884221098E-3</v>
      </c>
      <c r="I286" s="55">
        <v>4.5000000000000061E-2</v>
      </c>
      <c r="J286">
        <v>0</v>
      </c>
      <c r="L286" s="54">
        <f t="shared" si="7"/>
        <v>4.400000000000006E-2</v>
      </c>
      <c r="M286" s="58">
        <f t="shared" si="8"/>
        <v>0.9236391381654725</v>
      </c>
    </row>
    <row r="287" spans="1:13" ht="15">
      <c r="A287" s="46">
        <v>547.65</v>
      </c>
      <c r="B287" s="46">
        <v>551.80999999999995</v>
      </c>
      <c r="C287" s="46">
        <v>544.42999999999995</v>
      </c>
      <c r="D287" s="46">
        <v>548</v>
      </c>
      <c r="E287" s="46">
        <v>945513</v>
      </c>
      <c r="F287" s="46" t="s">
        <v>317</v>
      </c>
      <c r="G287" s="25">
        <f t="shared" si="5"/>
        <v>-6.3868613138695629E-4</v>
      </c>
      <c r="I287" s="55">
        <v>4.6000000000000062E-2</v>
      </c>
      <c r="J287">
        <v>2</v>
      </c>
      <c r="L287" s="54">
        <f t="shared" si="7"/>
        <v>4.5000000000000061E-2</v>
      </c>
      <c r="M287" s="58">
        <f t="shared" si="8"/>
        <v>0.79506275085633216</v>
      </c>
    </row>
    <row r="288" spans="1:13" ht="15">
      <c r="A288" s="46">
        <v>549.95000000000005</v>
      </c>
      <c r="B288" s="46">
        <v>552.08000000000004</v>
      </c>
      <c r="C288" s="46">
        <v>539.19500000000005</v>
      </c>
      <c r="D288" s="46">
        <v>542.01</v>
      </c>
      <c r="E288" s="46">
        <v>1350440</v>
      </c>
      <c r="F288" s="46" t="s">
        <v>318</v>
      </c>
      <c r="G288" s="25">
        <f t="shared" si="5"/>
        <v>1.4649176214461157E-2</v>
      </c>
      <c r="I288" s="55">
        <v>4.7000000000000063E-2</v>
      </c>
      <c r="J288">
        <v>0</v>
      </c>
      <c r="L288" s="54">
        <f t="shared" si="7"/>
        <v>4.6000000000000062E-2</v>
      </c>
      <c r="M288" s="58">
        <f t="shared" si="8"/>
        <v>0.68205982467105875</v>
      </c>
    </row>
    <row r="289" spans="1:13" ht="15">
      <c r="A289" s="46">
        <v>541.71</v>
      </c>
      <c r="B289" s="46">
        <v>541.99</v>
      </c>
      <c r="C289" s="46">
        <v>533.01</v>
      </c>
      <c r="D289" s="46">
        <v>537.02</v>
      </c>
      <c r="E289" s="46">
        <v>1379372</v>
      </c>
      <c r="F289" s="46" t="s">
        <v>319</v>
      </c>
      <c r="G289" s="25">
        <f t="shared" ref="G289:G352" si="9">A289/D289-1</f>
        <v>8.7333805072438153E-3</v>
      </c>
      <c r="I289" s="55">
        <v>4.8000000000000063E-2</v>
      </c>
      <c r="J289">
        <v>1</v>
      </c>
      <c r="L289" s="54">
        <f t="shared" si="7"/>
        <v>4.7000000000000063E-2</v>
      </c>
      <c r="M289" s="58">
        <f t="shared" si="8"/>
        <v>0.58313017275629186</v>
      </c>
    </row>
    <row r="290" spans="1:13" ht="15">
      <c r="A290" s="46">
        <v>542.85</v>
      </c>
      <c r="B290" s="46">
        <v>546.45000000000005</v>
      </c>
      <c r="C290" s="46">
        <v>540.19550000000004</v>
      </c>
      <c r="D290" s="46">
        <v>546.29999999999995</v>
      </c>
      <c r="E290" s="46">
        <v>1005366</v>
      </c>
      <c r="F290" s="46" t="s">
        <v>320</v>
      </c>
      <c r="G290" s="25">
        <f t="shared" si="9"/>
        <v>-6.3152114222952971E-3</v>
      </c>
      <c r="I290" s="55">
        <v>4.9000000000000064E-2</v>
      </c>
      <c r="J290">
        <v>0</v>
      </c>
      <c r="L290" s="54">
        <f t="shared" si="7"/>
        <v>4.8000000000000063E-2</v>
      </c>
      <c r="M290" s="58">
        <f t="shared" si="8"/>
        <v>0.49685600214745534</v>
      </c>
    </row>
    <row r="291" spans="1:13" ht="15">
      <c r="A291" s="46">
        <v>542</v>
      </c>
      <c r="B291" s="46">
        <v>543.16999999999996</v>
      </c>
      <c r="C291" s="46">
        <v>536.03</v>
      </c>
      <c r="D291" s="46">
        <v>539</v>
      </c>
      <c r="E291" s="46">
        <v>718571</v>
      </c>
      <c r="F291" s="46" t="s">
        <v>321</v>
      </c>
      <c r="G291" s="25">
        <f t="shared" si="9"/>
        <v>5.5658627087198376E-3</v>
      </c>
      <c r="I291" s="55">
        <v>5.0000000000000065E-2</v>
      </c>
      <c r="J291">
        <v>1</v>
      </c>
      <c r="L291" s="54">
        <f t="shared" si="7"/>
        <v>4.9000000000000064E-2</v>
      </c>
      <c r="M291" s="58">
        <f t="shared" si="8"/>
        <v>0.42190779568910525</v>
      </c>
    </row>
    <row r="292" spans="1:13" ht="15">
      <c r="A292" s="46">
        <v>538.54999999999995</v>
      </c>
      <c r="B292" s="46">
        <v>543.97</v>
      </c>
      <c r="C292" s="46">
        <v>538.23</v>
      </c>
      <c r="D292" s="46">
        <v>543.08000000000004</v>
      </c>
      <c r="E292" s="46">
        <v>938549</v>
      </c>
      <c r="F292" s="46" t="s">
        <v>322</v>
      </c>
      <c r="G292" s="25">
        <f t="shared" si="9"/>
        <v>-8.3413125138103172E-3</v>
      </c>
      <c r="I292" s="55">
        <v>5.1000000000000066E-2</v>
      </c>
      <c r="J292">
        <v>1</v>
      </c>
      <c r="L292" s="54">
        <f t="shared" si="7"/>
        <v>5.0000000000000065E-2</v>
      </c>
      <c r="M292" s="58">
        <f t="shared" si="8"/>
        <v>0.35704794836275289</v>
      </c>
    </row>
    <row r="293" spans="1:13" ht="15">
      <c r="A293" s="46">
        <v>542.1</v>
      </c>
      <c r="B293" s="46">
        <v>544.99990000000003</v>
      </c>
      <c r="C293" s="46">
        <v>537.28</v>
      </c>
      <c r="D293" s="46">
        <v>542.05999999999995</v>
      </c>
      <c r="E293" s="46">
        <v>1152817</v>
      </c>
      <c r="F293" s="46" t="s">
        <v>323</v>
      </c>
      <c r="G293" s="25">
        <f t="shared" si="9"/>
        <v>7.3792569088348969E-5</v>
      </c>
      <c r="I293" s="55">
        <v>5.2000000000000067E-2</v>
      </c>
      <c r="J293">
        <v>1</v>
      </c>
      <c r="L293" s="54">
        <f t="shared" si="7"/>
        <v>5.1000000000000066E-2</v>
      </c>
      <c r="M293" s="58">
        <f t="shared" si="8"/>
        <v>0.30113242136722834</v>
      </c>
    </row>
    <row r="294" spans="1:13" ht="15.75" thickBot="1">
      <c r="A294" s="46">
        <v>536.54999999999995</v>
      </c>
      <c r="B294" s="46">
        <v>549.30999999999995</v>
      </c>
      <c r="C294" s="46">
        <v>533.55999999999995</v>
      </c>
      <c r="D294" s="46">
        <v>548.82000000000005</v>
      </c>
      <c r="E294" s="46">
        <v>2077227</v>
      </c>
      <c r="F294" s="46" t="s">
        <v>324</v>
      </c>
      <c r="G294" s="25">
        <f t="shared" si="9"/>
        <v>-2.2357056958565824E-2</v>
      </c>
      <c r="I294" s="56" t="s">
        <v>1491</v>
      </c>
      <c r="J294" s="56">
        <v>10</v>
      </c>
      <c r="L294" s="54">
        <f t="shared" si="7"/>
        <v>5.2000000000000067E-2</v>
      </c>
      <c r="M294" s="58">
        <f t="shared" si="8"/>
        <v>0.25311068144724874</v>
      </c>
    </row>
    <row r="295" spans="1:13">
      <c r="A295" s="46">
        <v>547.87</v>
      </c>
      <c r="B295" s="46">
        <v>552</v>
      </c>
      <c r="C295" s="46">
        <v>541.99</v>
      </c>
      <c r="D295" s="46">
        <v>549.84</v>
      </c>
      <c r="E295" s="46">
        <v>1375537</v>
      </c>
      <c r="F295" s="46" t="s">
        <v>325</v>
      </c>
      <c r="G295" s="25">
        <f t="shared" si="9"/>
        <v>-3.5828604684999821E-3</v>
      </c>
      <c r="L295" s="54">
        <f t="shared" si="7"/>
        <v>5.3000000000000068E-2</v>
      </c>
      <c r="M295" s="58">
        <f t="shared" si="8"/>
        <v>0.21202418980405702</v>
      </c>
    </row>
    <row r="296" spans="1:13">
      <c r="A296" s="46">
        <v>550.62</v>
      </c>
      <c r="B296" s="46">
        <v>551.78</v>
      </c>
      <c r="C296" s="46">
        <v>540.35500000000002</v>
      </c>
      <c r="D296" s="46">
        <v>544.85</v>
      </c>
      <c r="E296" s="46">
        <v>1396346</v>
      </c>
      <c r="F296" s="46" t="s">
        <v>326</v>
      </c>
      <c r="G296" s="25">
        <f t="shared" si="9"/>
        <v>1.0590070661649964E-2</v>
      </c>
    </row>
    <row r="297" spans="1:13">
      <c r="A297" s="46">
        <v>541.82000000000005</v>
      </c>
      <c r="B297" s="46">
        <v>542.37</v>
      </c>
      <c r="C297" s="46">
        <v>533.83000000000004</v>
      </c>
      <c r="D297" s="46">
        <v>538.78</v>
      </c>
      <c r="E297" s="46">
        <v>985389</v>
      </c>
      <c r="F297" s="46" t="s">
        <v>327</v>
      </c>
      <c r="G297" s="25">
        <f t="shared" si="9"/>
        <v>5.6423772226141811E-3</v>
      </c>
    </row>
    <row r="298" spans="1:13">
      <c r="A298" s="46">
        <v>538.82000000000005</v>
      </c>
      <c r="B298" s="46">
        <v>540.08000000000004</v>
      </c>
      <c r="C298" s="46">
        <v>526.01</v>
      </c>
      <c r="D298" s="46">
        <v>527.57000000000005</v>
      </c>
      <c r="E298" s="46">
        <v>1143225</v>
      </c>
      <c r="F298" s="46" t="s">
        <v>328</v>
      </c>
      <c r="G298" s="25">
        <f t="shared" si="9"/>
        <v>2.1324184468411778E-2</v>
      </c>
    </row>
    <row r="299" spans="1:13">
      <c r="A299" s="46">
        <v>531.64</v>
      </c>
      <c r="B299" s="46">
        <v>537.53</v>
      </c>
      <c r="C299" s="46">
        <v>526.60670000000005</v>
      </c>
      <c r="D299" s="46">
        <v>527.36</v>
      </c>
      <c r="E299" s="46">
        <v>1268101</v>
      </c>
      <c r="F299" s="46" t="s">
        <v>329</v>
      </c>
      <c r="G299" s="25">
        <f t="shared" si="9"/>
        <v>8.1158980582523021E-3</v>
      </c>
    </row>
    <row r="300" spans="1:13">
      <c r="A300" s="46">
        <v>527.61</v>
      </c>
      <c r="B300" s="46">
        <v>536.98</v>
      </c>
      <c r="C300" s="46">
        <v>526.71</v>
      </c>
      <c r="D300" s="46">
        <v>533.21</v>
      </c>
      <c r="E300" s="46">
        <v>1447901</v>
      </c>
      <c r="F300" s="46" t="s">
        <v>330</v>
      </c>
      <c r="G300" s="25">
        <f t="shared" si="9"/>
        <v>-1.0502428686633869E-2</v>
      </c>
    </row>
    <row r="301" spans="1:13">
      <c r="A301" s="46">
        <v>537.79999999999995</v>
      </c>
      <c r="B301" s="46">
        <v>544.38</v>
      </c>
      <c r="C301" s="46">
        <v>537.13</v>
      </c>
      <c r="D301" s="46">
        <v>537.36</v>
      </c>
      <c r="E301" s="46">
        <v>1908430</v>
      </c>
      <c r="F301" s="46" t="s">
        <v>331</v>
      </c>
      <c r="G301" s="25">
        <f t="shared" si="9"/>
        <v>8.1881792466864667E-4</v>
      </c>
    </row>
    <row r="302" spans="1:13">
      <c r="A302" s="46">
        <v>536.69000000000005</v>
      </c>
      <c r="B302" s="46">
        <v>540.02</v>
      </c>
      <c r="C302" s="46">
        <v>534.04</v>
      </c>
      <c r="D302" s="46">
        <v>535.42999999999995</v>
      </c>
      <c r="E302" s="46">
        <v>1405226</v>
      </c>
      <c r="F302" s="46" t="s">
        <v>332</v>
      </c>
      <c r="G302" s="25">
        <f t="shared" si="9"/>
        <v>2.3532487906918753E-3</v>
      </c>
    </row>
    <row r="303" spans="1:13">
      <c r="A303" s="46">
        <v>537.07000000000005</v>
      </c>
      <c r="B303" s="46">
        <v>538.90499999999997</v>
      </c>
      <c r="C303" s="46">
        <v>531.69000000000005</v>
      </c>
      <c r="D303" s="46">
        <v>534</v>
      </c>
      <c r="E303" s="46">
        <v>1456091</v>
      </c>
      <c r="F303" s="46" t="s">
        <v>333</v>
      </c>
      <c r="G303" s="25">
        <f t="shared" si="9"/>
        <v>5.7490636704120579E-3</v>
      </c>
    </row>
    <row r="304" spans="1:13">
      <c r="A304" s="46">
        <v>535.75</v>
      </c>
      <c r="B304" s="46">
        <v>542.58989999999994</v>
      </c>
      <c r="C304" s="46">
        <v>534.57000000000005</v>
      </c>
      <c r="D304" s="46">
        <v>539.89</v>
      </c>
      <c r="E304" s="46">
        <v>2097917</v>
      </c>
      <c r="F304" s="46" t="s">
        <v>334</v>
      </c>
      <c r="G304" s="25">
        <f t="shared" si="9"/>
        <v>-7.668228713256342E-3</v>
      </c>
    </row>
    <row r="305" spans="1:7">
      <c r="A305" s="46">
        <v>536.45000000000005</v>
      </c>
      <c r="B305" s="46">
        <v>538.49</v>
      </c>
      <c r="C305" s="46">
        <v>524</v>
      </c>
      <c r="D305" s="46">
        <v>525.5</v>
      </c>
      <c r="E305" s="46">
        <v>1427803</v>
      </c>
      <c r="F305" s="46" t="s">
        <v>335</v>
      </c>
      <c r="G305" s="25">
        <f t="shared" si="9"/>
        <v>2.0837297811608035E-2</v>
      </c>
    </row>
    <row r="306" spans="1:7">
      <c r="A306" s="46">
        <v>524.28</v>
      </c>
      <c r="B306" s="46">
        <v>524.82500000000005</v>
      </c>
      <c r="C306" s="46">
        <v>515.58000000000004</v>
      </c>
      <c r="D306" s="46">
        <v>516</v>
      </c>
      <c r="E306" s="46">
        <v>1209283</v>
      </c>
      <c r="F306" s="46" t="s">
        <v>336</v>
      </c>
      <c r="G306" s="25">
        <f t="shared" si="9"/>
        <v>1.6046511627906934E-2</v>
      </c>
    </row>
    <row r="307" spans="1:7">
      <c r="A307" s="46">
        <v>515.54999999999995</v>
      </c>
      <c r="B307" s="46">
        <v>525</v>
      </c>
      <c r="C307" s="46">
        <v>506.8</v>
      </c>
      <c r="D307" s="46">
        <v>523.13</v>
      </c>
      <c r="E307" s="46">
        <v>1776420</v>
      </c>
      <c r="F307" s="46" t="s">
        <v>337</v>
      </c>
      <c r="G307" s="25">
        <f t="shared" si="9"/>
        <v>-1.4489706191577745E-2</v>
      </c>
    </row>
    <row r="308" spans="1:7">
      <c r="A308" s="46">
        <v>515.16999999999996</v>
      </c>
      <c r="B308" s="46">
        <v>518.25</v>
      </c>
      <c r="C308" s="46">
        <v>506.33</v>
      </c>
      <c r="D308" s="46">
        <v>506.33</v>
      </c>
      <c r="E308" s="46">
        <v>1113407</v>
      </c>
      <c r="F308" s="46" t="s">
        <v>338</v>
      </c>
      <c r="G308" s="25">
        <f t="shared" si="9"/>
        <v>1.7458969446803474E-2</v>
      </c>
    </row>
    <row r="309" spans="1:7">
      <c r="A309" s="46">
        <v>507.42</v>
      </c>
      <c r="B309" s="46">
        <v>511.20499999999998</v>
      </c>
      <c r="C309" s="46">
        <v>503.85</v>
      </c>
      <c r="D309" s="46">
        <v>504.32</v>
      </c>
      <c r="E309" s="46">
        <v>849671</v>
      </c>
      <c r="F309" s="46" t="s">
        <v>339</v>
      </c>
      <c r="G309" s="25">
        <f t="shared" si="9"/>
        <v>6.1468908629442875E-3</v>
      </c>
    </row>
    <row r="310" spans="1:7">
      <c r="A310" s="46">
        <v>506.34</v>
      </c>
      <c r="B310" s="46">
        <v>510.80939999999998</v>
      </c>
      <c r="C310" s="46">
        <v>502.01</v>
      </c>
      <c r="D310" s="46">
        <v>502.02</v>
      </c>
      <c r="E310" s="46">
        <v>1041997</v>
      </c>
      <c r="F310" s="46" t="s">
        <v>340</v>
      </c>
      <c r="G310" s="25">
        <f t="shared" si="9"/>
        <v>8.6052348512011267E-3</v>
      </c>
    </row>
    <row r="311" spans="1:7">
      <c r="A311" s="46">
        <v>503.84</v>
      </c>
      <c r="B311" s="46">
        <v>511.06</v>
      </c>
      <c r="C311" s="46">
        <v>500.67</v>
      </c>
      <c r="D311" s="46">
        <v>510.01</v>
      </c>
      <c r="E311" s="46">
        <v>1468858</v>
      </c>
      <c r="F311" s="46" t="s">
        <v>341</v>
      </c>
      <c r="G311" s="25">
        <f t="shared" si="9"/>
        <v>-1.209780200388233E-2</v>
      </c>
    </row>
    <row r="312" spans="1:7">
      <c r="A312" s="46">
        <v>513.77</v>
      </c>
      <c r="B312" s="46">
        <v>516.98990000000003</v>
      </c>
      <c r="C312" s="46">
        <v>508.01</v>
      </c>
      <c r="D312" s="46">
        <v>516.55999999999995</v>
      </c>
      <c r="E312" s="46">
        <v>1113145</v>
      </c>
      <c r="F312" s="46" t="s">
        <v>342</v>
      </c>
      <c r="G312" s="25">
        <f t="shared" si="9"/>
        <v>-5.4011150689173837E-3</v>
      </c>
    </row>
    <row r="313" spans="1:7">
      <c r="A313" s="46">
        <v>516.30999999999995</v>
      </c>
      <c r="B313" s="46">
        <v>517.5</v>
      </c>
      <c r="C313" s="46">
        <v>504.35</v>
      </c>
      <c r="D313" s="46">
        <v>506.52</v>
      </c>
      <c r="E313" s="46">
        <v>1065041</v>
      </c>
      <c r="F313" s="46" t="s">
        <v>343</v>
      </c>
      <c r="G313" s="25">
        <f t="shared" si="9"/>
        <v>1.932796335781406E-2</v>
      </c>
    </row>
    <row r="314" spans="1:7">
      <c r="A314" s="46">
        <v>510.88</v>
      </c>
      <c r="B314" s="46">
        <v>514.32500000000005</v>
      </c>
      <c r="C314" s="46">
        <v>508.28</v>
      </c>
      <c r="D314" s="46">
        <v>513.66</v>
      </c>
      <c r="E314" s="46">
        <v>842909</v>
      </c>
      <c r="F314" s="46" t="s">
        <v>344</v>
      </c>
      <c r="G314" s="25">
        <f t="shared" si="9"/>
        <v>-5.4121403262857859E-3</v>
      </c>
    </row>
    <row r="315" spans="1:7">
      <c r="A315" s="46">
        <v>511.27</v>
      </c>
      <c r="B315" s="46">
        <v>516.89279999999997</v>
      </c>
      <c r="C315" s="46">
        <v>510.46</v>
      </c>
      <c r="D315" s="46">
        <v>514</v>
      </c>
      <c r="E315" s="46">
        <v>982549</v>
      </c>
      <c r="F315" s="46" t="s">
        <v>345</v>
      </c>
      <c r="G315" s="25">
        <f t="shared" si="9"/>
        <v>-5.311284046692677E-3</v>
      </c>
    </row>
    <row r="316" spans="1:7">
      <c r="A316" s="46">
        <v>511.63</v>
      </c>
      <c r="B316" s="46">
        <v>515.30999999999995</v>
      </c>
      <c r="C316" s="46">
        <v>509.78</v>
      </c>
      <c r="D316" s="46">
        <v>510.79</v>
      </c>
      <c r="E316" s="46">
        <v>755449</v>
      </c>
      <c r="F316" s="46" t="s">
        <v>346</v>
      </c>
      <c r="G316" s="25">
        <f t="shared" si="9"/>
        <v>1.6445114430587715E-3</v>
      </c>
    </row>
    <row r="317" spans="1:7">
      <c r="A317" s="46">
        <v>512.58000000000004</v>
      </c>
      <c r="B317" s="46">
        <v>516</v>
      </c>
      <c r="C317" s="46">
        <v>507.28</v>
      </c>
      <c r="D317" s="46">
        <v>513.89</v>
      </c>
      <c r="E317" s="46">
        <v>1119984</v>
      </c>
      <c r="F317" s="46" t="s">
        <v>347</v>
      </c>
      <c r="G317" s="25">
        <f t="shared" si="9"/>
        <v>-2.549183677440614E-3</v>
      </c>
    </row>
    <row r="318" spans="1:7">
      <c r="A318" s="46">
        <v>517.5</v>
      </c>
      <c r="B318" s="46">
        <v>519.17999999999995</v>
      </c>
      <c r="C318" s="46">
        <v>511.81</v>
      </c>
      <c r="D318" s="46">
        <v>515</v>
      </c>
      <c r="E318" s="46">
        <v>1341519</v>
      </c>
      <c r="F318" s="46" t="s">
        <v>348</v>
      </c>
      <c r="G318" s="25">
        <f t="shared" si="9"/>
        <v>4.8543689320388328E-3</v>
      </c>
    </row>
    <row r="319" spans="1:7">
      <c r="A319" s="46">
        <v>518.86</v>
      </c>
      <c r="B319" s="46">
        <v>522.66499999999996</v>
      </c>
      <c r="C319" s="46">
        <v>514.54999999999995</v>
      </c>
      <c r="D319" s="46">
        <v>519.04</v>
      </c>
      <c r="E319" s="46">
        <v>1309589</v>
      </c>
      <c r="F319" s="46" t="s">
        <v>349</v>
      </c>
      <c r="G319" s="25">
        <f t="shared" si="9"/>
        <v>-3.4679408138094114E-4</v>
      </c>
    </row>
    <row r="320" spans="1:7">
      <c r="A320" s="46">
        <v>521.15</v>
      </c>
      <c r="B320" s="46">
        <v>523.34</v>
      </c>
      <c r="C320" s="46">
        <v>495</v>
      </c>
      <c r="D320" s="46">
        <v>496</v>
      </c>
      <c r="E320" s="46">
        <v>4059157</v>
      </c>
      <c r="F320" s="46" t="s">
        <v>350</v>
      </c>
      <c r="G320" s="25">
        <f t="shared" si="9"/>
        <v>5.0705645161290169E-2</v>
      </c>
    </row>
    <row r="321" spans="1:7">
      <c r="A321" s="46">
        <v>473.73</v>
      </c>
      <c r="B321" s="46">
        <v>481.06</v>
      </c>
      <c r="C321" s="46">
        <v>472.12</v>
      </c>
      <c r="D321" s="46">
        <v>481.06</v>
      </c>
      <c r="E321" s="46">
        <v>1959034</v>
      </c>
      <c r="F321" s="46" t="s">
        <v>351</v>
      </c>
      <c r="G321" s="25">
        <f t="shared" si="9"/>
        <v>-1.52371845507836E-2</v>
      </c>
    </row>
    <row r="322" spans="1:7">
      <c r="A322" s="46">
        <v>476.59</v>
      </c>
      <c r="B322" s="46">
        <v>479.51990000000001</v>
      </c>
      <c r="C322" s="46">
        <v>473.505</v>
      </c>
      <c r="D322" s="46">
        <v>478.11</v>
      </c>
      <c r="E322" s="46">
        <v>1037657</v>
      </c>
      <c r="F322" s="46" t="s">
        <v>352</v>
      </c>
      <c r="G322" s="25">
        <f t="shared" si="9"/>
        <v>-3.1791847064484013E-3</v>
      </c>
    </row>
    <row r="323" spans="1:7">
      <c r="A323" s="46">
        <v>478.47</v>
      </c>
      <c r="B323" s="46">
        <v>489.625</v>
      </c>
      <c r="C323" s="46">
        <v>476.67500000000001</v>
      </c>
      <c r="D323" s="46">
        <v>488</v>
      </c>
      <c r="E323" s="46">
        <v>1313339</v>
      </c>
      <c r="F323" s="46" t="s">
        <v>353</v>
      </c>
      <c r="G323" s="25">
        <f t="shared" si="9"/>
        <v>-1.952868852459011E-2</v>
      </c>
    </row>
    <row r="324" spans="1:7">
      <c r="A324" s="46">
        <v>487.61</v>
      </c>
      <c r="B324" s="46">
        <v>488.63</v>
      </c>
      <c r="C324" s="46">
        <v>483.96850000000001</v>
      </c>
      <c r="D324" s="46">
        <v>487.04</v>
      </c>
      <c r="E324" s="46">
        <v>883621</v>
      </c>
      <c r="F324" s="46" t="s">
        <v>354</v>
      </c>
      <c r="G324" s="25">
        <f t="shared" si="9"/>
        <v>1.170335085413976E-3</v>
      </c>
    </row>
    <row r="325" spans="1:7">
      <c r="A325" s="46">
        <v>484.78</v>
      </c>
      <c r="B325" s="46">
        <v>487.58</v>
      </c>
      <c r="C325" s="46">
        <v>483.12</v>
      </c>
      <c r="D325" s="46">
        <v>486</v>
      </c>
      <c r="E325" s="46">
        <v>1170154</v>
      </c>
      <c r="F325" s="46" t="s">
        <v>355</v>
      </c>
      <c r="G325" s="25">
        <f t="shared" si="9"/>
        <v>-2.5102880658436355E-3</v>
      </c>
    </row>
    <row r="326" spans="1:7">
      <c r="A326" s="46">
        <v>483.84</v>
      </c>
      <c r="B326" s="46">
        <v>488.2627</v>
      </c>
      <c r="C326" s="46">
        <v>483.2</v>
      </c>
      <c r="D326" s="46">
        <v>486.23</v>
      </c>
      <c r="E326" s="46">
        <v>942178</v>
      </c>
      <c r="F326" s="46" t="s">
        <v>356</v>
      </c>
      <c r="G326" s="25">
        <f t="shared" si="9"/>
        <v>-4.9153692696872753E-3</v>
      </c>
    </row>
    <row r="327" spans="1:7">
      <c r="A327" s="46">
        <v>490.38</v>
      </c>
      <c r="B327" s="46">
        <v>490.58</v>
      </c>
      <c r="C327" s="46">
        <v>478.49</v>
      </c>
      <c r="D327" s="46">
        <v>480.59500000000003</v>
      </c>
      <c r="E327" s="46">
        <v>1061187</v>
      </c>
      <c r="F327" s="46" t="s">
        <v>357</v>
      </c>
      <c r="G327" s="25">
        <f t="shared" si="9"/>
        <v>2.0360178528698647E-2</v>
      </c>
    </row>
    <row r="328" spans="1:7">
      <c r="A328" s="46">
        <v>480.78500000000003</v>
      </c>
      <c r="B328" s="46">
        <v>482.88</v>
      </c>
      <c r="C328" s="46">
        <v>473.79</v>
      </c>
      <c r="D328" s="46">
        <v>473.79</v>
      </c>
      <c r="E328" s="46">
        <v>1040425</v>
      </c>
      <c r="F328" s="46" t="s">
        <v>358</v>
      </c>
      <c r="G328" s="25">
        <f t="shared" si="9"/>
        <v>1.4763924945651041E-2</v>
      </c>
    </row>
    <row r="329" spans="1:7">
      <c r="A329" s="46">
        <v>471.23</v>
      </c>
      <c r="B329" s="46">
        <v>479.30500000000001</v>
      </c>
      <c r="C329" s="46">
        <v>470.06</v>
      </c>
      <c r="D329" s="46">
        <v>476.86</v>
      </c>
      <c r="E329" s="46">
        <v>1175190</v>
      </c>
      <c r="F329" s="46" t="s">
        <v>359</v>
      </c>
      <c r="G329" s="25">
        <f t="shared" si="9"/>
        <v>-1.1806400201316958E-2</v>
      </c>
    </row>
    <row r="330" spans="1:7">
      <c r="A330" s="46">
        <v>481.95</v>
      </c>
      <c r="B330" s="46">
        <v>484.45</v>
      </c>
      <c r="C330" s="46">
        <v>476.59679999999997</v>
      </c>
      <c r="D330" s="46">
        <v>484.45</v>
      </c>
      <c r="E330" s="46">
        <v>903893</v>
      </c>
      <c r="F330" s="46" t="s">
        <v>360</v>
      </c>
      <c r="G330" s="25">
        <f t="shared" si="9"/>
        <v>-5.1604912787697188E-3</v>
      </c>
    </row>
    <row r="331" spans="1:7">
      <c r="A331" s="46">
        <v>479.63</v>
      </c>
      <c r="B331" s="46">
        <v>486</v>
      </c>
      <c r="C331" s="46">
        <v>478.55860000000001</v>
      </c>
      <c r="D331" s="46">
        <v>484.42</v>
      </c>
      <c r="E331" s="46">
        <v>764687</v>
      </c>
      <c r="F331" s="46" t="s">
        <v>361</v>
      </c>
      <c r="G331" s="25">
        <f t="shared" si="9"/>
        <v>-9.8881136204120867E-3</v>
      </c>
    </row>
    <row r="332" spans="1:7">
      <c r="A332" s="46">
        <v>486.62</v>
      </c>
      <c r="B332" s="46">
        <v>489.71</v>
      </c>
      <c r="C332" s="46">
        <v>478.62</v>
      </c>
      <c r="D332" s="46">
        <v>482.72</v>
      </c>
      <c r="E332" s="46">
        <v>740933</v>
      </c>
      <c r="F332" s="46" t="s">
        <v>362</v>
      </c>
      <c r="G332" s="25">
        <f t="shared" si="9"/>
        <v>8.0792177659927411E-3</v>
      </c>
    </row>
    <row r="333" spans="1:7">
      <c r="A333" s="46">
        <v>484.76</v>
      </c>
      <c r="B333" s="46">
        <v>496.48</v>
      </c>
      <c r="C333" s="46">
        <v>481.71</v>
      </c>
      <c r="D333" s="46">
        <v>492.5</v>
      </c>
      <c r="E333" s="46">
        <v>1181142</v>
      </c>
      <c r="F333" s="46" t="s">
        <v>363</v>
      </c>
      <c r="G333" s="25">
        <f t="shared" si="9"/>
        <v>-1.5715736040609163E-2</v>
      </c>
    </row>
    <row r="334" spans="1:7">
      <c r="A334" s="46">
        <v>491.27</v>
      </c>
      <c r="B334" s="46">
        <v>492.25</v>
      </c>
      <c r="C334" s="46">
        <v>478.69</v>
      </c>
      <c r="D334" s="46">
        <v>480</v>
      </c>
      <c r="E334" s="46">
        <v>1654679</v>
      </c>
      <c r="F334" s="46" t="s">
        <v>364</v>
      </c>
      <c r="G334" s="25">
        <f t="shared" si="9"/>
        <v>2.3479166666666718E-2</v>
      </c>
    </row>
    <row r="335" spans="1:7">
      <c r="A335" s="46">
        <v>479.18</v>
      </c>
      <c r="B335" s="46">
        <v>490.03</v>
      </c>
      <c r="C335" s="46">
        <v>478.57</v>
      </c>
      <c r="D335" s="46">
        <v>490.03</v>
      </c>
      <c r="E335" s="46">
        <v>1013377</v>
      </c>
      <c r="F335" s="46" t="s">
        <v>365</v>
      </c>
      <c r="G335" s="25">
        <f t="shared" si="9"/>
        <v>-2.214150154072192E-2</v>
      </c>
    </row>
    <row r="336" spans="1:7">
      <c r="A336" s="46">
        <v>486.33</v>
      </c>
      <c r="B336" s="46">
        <v>490.95</v>
      </c>
      <c r="C336" s="46">
        <v>484.76</v>
      </c>
      <c r="D336" s="46">
        <v>488.25</v>
      </c>
      <c r="E336" s="46">
        <v>871630</v>
      </c>
      <c r="F336" s="46" t="s">
        <v>366</v>
      </c>
      <c r="G336" s="25">
        <f t="shared" si="9"/>
        <v>-3.9324116743472137E-3</v>
      </c>
    </row>
    <row r="337" spans="1:7">
      <c r="A337" s="46">
        <v>484.39</v>
      </c>
      <c r="B337" s="46">
        <v>487.11669999999998</v>
      </c>
      <c r="C337" s="46">
        <v>482.29</v>
      </c>
      <c r="D337" s="46">
        <v>486</v>
      </c>
      <c r="E337" s="46">
        <v>897792</v>
      </c>
      <c r="F337" s="46" t="s">
        <v>367</v>
      </c>
      <c r="G337" s="25">
        <f t="shared" si="9"/>
        <v>-3.3127572016461437E-3</v>
      </c>
    </row>
    <row r="338" spans="1:7">
      <c r="A338" s="46">
        <v>484.4</v>
      </c>
      <c r="B338" s="46">
        <v>490.51</v>
      </c>
      <c r="C338" s="46">
        <v>482.35</v>
      </c>
      <c r="D338" s="46">
        <v>490.51</v>
      </c>
      <c r="E338" s="46">
        <v>1120916</v>
      </c>
      <c r="F338" s="46" t="s">
        <v>368</v>
      </c>
      <c r="G338" s="25">
        <f t="shared" si="9"/>
        <v>-1.2456422906770515E-2</v>
      </c>
    </row>
    <row r="339" spans="1:7">
      <c r="A339" s="46">
        <v>489.07</v>
      </c>
      <c r="B339" s="46">
        <v>491.83240000000001</v>
      </c>
      <c r="C339" s="46">
        <v>486.27</v>
      </c>
      <c r="D339" s="46">
        <v>488.5</v>
      </c>
      <c r="E339" s="46">
        <v>927220</v>
      </c>
      <c r="F339" s="46" t="s">
        <v>369</v>
      </c>
      <c r="G339" s="25">
        <f t="shared" si="9"/>
        <v>1.1668372569089147E-3</v>
      </c>
    </row>
    <row r="340" spans="1:7">
      <c r="A340" s="46">
        <v>486.2</v>
      </c>
      <c r="B340" s="46">
        <v>486.3</v>
      </c>
      <c r="C340" s="46">
        <v>480.16</v>
      </c>
      <c r="D340" s="46">
        <v>485.11</v>
      </c>
      <c r="E340" s="46">
        <v>2734099</v>
      </c>
      <c r="F340" s="46" t="s">
        <v>370</v>
      </c>
      <c r="G340" s="25">
        <f t="shared" si="9"/>
        <v>2.2469130712621244E-3</v>
      </c>
    </row>
    <row r="341" spans="1:7">
      <c r="A341" s="46">
        <v>490.01</v>
      </c>
      <c r="B341" s="46">
        <v>492.74</v>
      </c>
      <c r="C341" s="46">
        <v>486.98</v>
      </c>
      <c r="D341" s="46">
        <v>492</v>
      </c>
      <c r="E341" s="46">
        <v>1225044</v>
      </c>
      <c r="F341" s="46" t="s">
        <v>371</v>
      </c>
      <c r="G341" s="25">
        <f t="shared" si="9"/>
        <v>-4.0447154471544566E-3</v>
      </c>
    </row>
    <row r="342" spans="1:7">
      <c r="A342" s="46">
        <v>482.09</v>
      </c>
      <c r="B342" s="46">
        <v>488.7473</v>
      </c>
      <c r="C342" s="46">
        <v>479.58</v>
      </c>
      <c r="D342" s="46">
        <v>484.21</v>
      </c>
      <c r="E342" s="46">
        <v>982261</v>
      </c>
      <c r="F342" s="46" t="s">
        <v>372</v>
      </c>
      <c r="G342" s="25">
        <f t="shared" si="9"/>
        <v>-4.3782656285495936E-3</v>
      </c>
    </row>
    <row r="343" spans="1:7">
      <c r="A343" s="46">
        <v>483.32</v>
      </c>
      <c r="B343" s="46">
        <v>491.27</v>
      </c>
      <c r="C343" s="46">
        <v>482.375</v>
      </c>
      <c r="D343" s="46">
        <v>491.27</v>
      </c>
      <c r="E343" s="46">
        <v>1162561</v>
      </c>
      <c r="F343" s="46" t="s">
        <v>373</v>
      </c>
      <c r="G343" s="25">
        <f t="shared" si="9"/>
        <v>-1.6182547275429005E-2</v>
      </c>
    </row>
    <row r="344" spans="1:7">
      <c r="A344" s="46">
        <v>491.39</v>
      </c>
      <c r="B344" s="46">
        <v>494.01</v>
      </c>
      <c r="C344" s="46">
        <v>488.56830000000002</v>
      </c>
      <c r="D344" s="46">
        <v>493.47</v>
      </c>
      <c r="E344" s="46">
        <v>921409</v>
      </c>
      <c r="F344" s="46" t="s">
        <v>374</v>
      </c>
      <c r="G344" s="25">
        <f t="shared" si="9"/>
        <v>-4.2150485338522392E-3</v>
      </c>
    </row>
    <row r="345" spans="1:7">
      <c r="A345" s="46">
        <v>489.86</v>
      </c>
      <c r="B345" s="46">
        <v>496.18</v>
      </c>
      <c r="C345" s="46">
        <v>489.19</v>
      </c>
      <c r="D345" s="46">
        <v>490.28</v>
      </c>
      <c r="E345" s="46">
        <v>1238094</v>
      </c>
      <c r="F345" s="46" t="s">
        <v>375</v>
      </c>
      <c r="G345" s="25">
        <f t="shared" si="9"/>
        <v>-8.5665334094797707E-4</v>
      </c>
    </row>
    <row r="346" spans="1:7">
      <c r="A346" s="46">
        <v>494.01</v>
      </c>
      <c r="B346" s="46">
        <v>494.15</v>
      </c>
      <c r="C346" s="46">
        <v>486.05</v>
      </c>
      <c r="D346" s="46">
        <v>491.91</v>
      </c>
      <c r="E346" s="46">
        <v>1128767</v>
      </c>
      <c r="F346" s="46" t="s">
        <v>376</v>
      </c>
      <c r="G346" s="25">
        <f t="shared" si="9"/>
        <v>4.2690736110262417E-3</v>
      </c>
    </row>
    <row r="347" spans="1:7">
      <c r="A347" s="46">
        <v>490.93</v>
      </c>
      <c r="B347" s="46">
        <v>491.83</v>
      </c>
      <c r="C347" s="46">
        <v>477.08</v>
      </c>
      <c r="D347" s="46">
        <v>484.18</v>
      </c>
      <c r="E347" s="46">
        <v>1239274</v>
      </c>
      <c r="F347" s="46" t="s">
        <v>377</v>
      </c>
      <c r="G347" s="25">
        <f t="shared" si="9"/>
        <v>1.3941096286504973E-2</v>
      </c>
    </row>
    <row r="348" spans="1:7">
      <c r="A348" s="46">
        <v>484.24</v>
      </c>
      <c r="B348" s="46">
        <v>484.79</v>
      </c>
      <c r="C348" s="46">
        <v>477.5</v>
      </c>
      <c r="D348" s="46">
        <v>477.5</v>
      </c>
      <c r="E348" s="46">
        <v>1006475</v>
      </c>
      <c r="F348" s="46" t="s">
        <v>378</v>
      </c>
      <c r="G348" s="25">
        <f t="shared" si="9"/>
        <v>1.4115183246073304E-2</v>
      </c>
    </row>
    <row r="349" spans="1:7">
      <c r="A349" s="46">
        <v>479.39</v>
      </c>
      <c r="B349" s="46">
        <v>479.99</v>
      </c>
      <c r="C349" s="46">
        <v>473.98</v>
      </c>
      <c r="D349" s="46">
        <v>475</v>
      </c>
      <c r="E349" s="46">
        <v>1121534</v>
      </c>
      <c r="F349" s="46" t="s">
        <v>379</v>
      </c>
      <c r="G349" s="25">
        <f t="shared" si="9"/>
        <v>9.2421052631579403E-3</v>
      </c>
    </row>
    <row r="350" spans="1:7">
      <c r="A350" s="46">
        <v>471.82</v>
      </c>
      <c r="B350" s="46">
        <v>478.25</v>
      </c>
      <c r="C350" s="46">
        <v>466</v>
      </c>
      <c r="D350" s="46">
        <v>476.92</v>
      </c>
      <c r="E350" s="46">
        <v>1700169</v>
      </c>
      <c r="F350" s="46" t="s">
        <v>380</v>
      </c>
      <c r="G350" s="25">
        <f t="shared" si="9"/>
        <v>-1.0693617378176645E-2</v>
      </c>
    </row>
    <row r="351" spans="1:7">
      <c r="A351" s="46">
        <v>476.69</v>
      </c>
      <c r="B351" s="46">
        <v>480.32</v>
      </c>
      <c r="C351" s="46">
        <v>468.45800000000003</v>
      </c>
      <c r="D351" s="46">
        <v>480.32</v>
      </c>
      <c r="E351" s="46">
        <v>1194761</v>
      </c>
      <c r="F351" s="46" t="s">
        <v>381</v>
      </c>
      <c r="G351" s="25">
        <f t="shared" si="9"/>
        <v>-7.5574616922051696E-3</v>
      </c>
    </row>
    <row r="352" spans="1:7">
      <c r="A352" s="46">
        <v>481.73</v>
      </c>
      <c r="B352" s="46">
        <v>484.64499999999998</v>
      </c>
      <c r="C352" s="46">
        <v>478.28</v>
      </c>
      <c r="D352" s="46">
        <v>480.96</v>
      </c>
      <c r="E352" s="46">
        <v>1321044</v>
      </c>
      <c r="F352" s="46" t="s">
        <v>382</v>
      </c>
      <c r="G352" s="25">
        <f t="shared" si="9"/>
        <v>1.6009647371924007E-3</v>
      </c>
    </row>
    <row r="353" spans="1:7">
      <c r="A353" s="46">
        <v>483.44</v>
      </c>
      <c r="B353" s="46">
        <v>493.42</v>
      </c>
      <c r="C353" s="46">
        <v>480.8</v>
      </c>
      <c r="D353" s="46">
        <v>491.67</v>
      </c>
      <c r="E353" s="46">
        <v>1356285</v>
      </c>
      <c r="F353" s="46" t="s">
        <v>383</v>
      </c>
      <c r="G353" s="25">
        <f t="shared" ref="G353:G416" si="10">A353/D353-1</f>
        <v>-1.6738869566986003E-2</v>
      </c>
    </row>
    <row r="354" spans="1:7">
      <c r="A354" s="46">
        <v>492.63</v>
      </c>
      <c r="B354" s="46">
        <v>493.44</v>
      </c>
      <c r="C354" s="46">
        <v>485.28</v>
      </c>
      <c r="D354" s="46">
        <v>489.16</v>
      </c>
      <c r="E354" s="46">
        <v>1097792</v>
      </c>
      <c r="F354" s="46" t="s">
        <v>384</v>
      </c>
      <c r="G354" s="25">
        <f t="shared" si="10"/>
        <v>7.0937934418184856E-3</v>
      </c>
    </row>
    <row r="355" spans="1:7">
      <c r="A355" s="46">
        <v>487.17</v>
      </c>
      <c r="B355" s="46">
        <v>491.66</v>
      </c>
      <c r="C355" s="46">
        <v>481.25</v>
      </c>
      <c r="D355" s="46">
        <v>482.21</v>
      </c>
      <c r="E355" s="46">
        <v>939699</v>
      </c>
      <c r="F355" s="46" t="s">
        <v>385</v>
      </c>
      <c r="G355" s="25">
        <f t="shared" si="10"/>
        <v>1.0285974990149604E-2</v>
      </c>
    </row>
    <row r="356" spans="1:7">
      <c r="A356" s="46">
        <v>482.21</v>
      </c>
      <c r="B356" s="46">
        <v>485.36</v>
      </c>
      <c r="C356" s="46">
        <v>479.24</v>
      </c>
      <c r="D356" s="46">
        <v>482.93</v>
      </c>
      <c r="E356" s="46">
        <v>960082</v>
      </c>
      <c r="F356" s="46" t="s">
        <v>386</v>
      </c>
      <c r="G356" s="25">
        <f t="shared" si="10"/>
        <v>-1.490899302176385E-3</v>
      </c>
    </row>
    <row r="357" spans="1:7">
      <c r="A357" s="46">
        <v>482.35</v>
      </c>
      <c r="B357" s="46">
        <v>483.57</v>
      </c>
      <c r="C357" s="46">
        <v>477</v>
      </c>
      <c r="D357" s="46">
        <v>478.44</v>
      </c>
      <c r="E357" s="46">
        <v>939971</v>
      </c>
      <c r="F357" s="46" t="s">
        <v>387</v>
      </c>
      <c r="G357" s="25">
        <f t="shared" si="10"/>
        <v>8.1723936125741581E-3</v>
      </c>
    </row>
    <row r="358" spans="1:7">
      <c r="A358" s="46">
        <v>479.19</v>
      </c>
      <c r="B358" s="46">
        <v>487.27499999999998</v>
      </c>
      <c r="C358" s="46">
        <v>476.88</v>
      </c>
      <c r="D358" s="46">
        <v>486.88</v>
      </c>
      <c r="E358" s="46">
        <v>1170898</v>
      </c>
      <c r="F358" s="46" t="s">
        <v>388</v>
      </c>
      <c r="G358" s="25">
        <f t="shared" si="10"/>
        <v>-1.579444627012816E-2</v>
      </c>
    </row>
    <row r="359" spans="1:7">
      <c r="A359" s="46">
        <v>486.55</v>
      </c>
      <c r="B359" s="46">
        <v>493.97</v>
      </c>
      <c r="C359" s="46">
        <v>478.18</v>
      </c>
      <c r="D359" s="46">
        <v>492.62</v>
      </c>
      <c r="E359" s="46">
        <v>1155222</v>
      </c>
      <c r="F359" s="46" t="s">
        <v>389</v>
      </c>
      <c r="G359" s="25">
        <f t="shared" si="10"/>
        <v>-1.2321870813202906E-2</v>
      </c>
    </row>
    <row r="360" spans="1:7">
      <c r="A360" s="46">
        <v>490.43</v>
      </c>
      <c r="B360" s="46">
        <v>491.83</v>
      </c>
      <c r="C360" s="46">
        <v>486.92</v>
      </c>
      <c r="D360" s="46">
        <v>490</v>
      </c>
      <c r="E360" s="46">
        <v>1137808</v>
      </c>
      <c r="F360" s="46" t="s">
        <v>390</v>
      </c>
      <c r="G360" s="25">
        <f t="shared" si="10"/>
        <v>8.7755102040820709E-4</v>
      </c>
    </row>
    <row r="361" spans="1:7">
      <c r="A361" s="46">
        <v>487.42</v>
      </c>
      <c r="B361" s="46">
        <v>488.47</v>
      </c>
      <c r="C361" s="46">
        <v>482.00009999999997</v>
      </c>
      <c r="D361" s="46">
        <v>484.2</v>
      </c>
      <c r="E361" s="46">
        <v>886439</v>
      </c>
      <c r="F361" s="46" t="s">
        <v>391</v>
      </c>
      <c r="G361" s="25">
        <f t="shared" si="10"/>
        <v>6.6501445683602167E-3</v>
      </c>
    </row>
    <row r="362" spans="1:7">
      <c r="A362" s="46">
        <v>483.21</v>
      </c>
      <c r="B362" s="46">
        <v>488.48</v>
      </c>
      <c r="C362" s="46">
        <v>482.32600000000002</v>
      </c>
      <c r="D362" s="46">
        <v>483</v>
      </c>
      <c r="E362" s="46">
        <v>885479</v>
      </c>
      <c r="F362" s="46" t="s">
        <v>392</v>
      </c>
      <c r="G362" s="25">
        <f t="shared" si="10"/>
        <v>4.3478260869567187E-4</v>
      </c>
    </row>
    <row r="363" spans="1:7">
      <c r="A363" s="46">
        <v>482.16</v>
      </c>
      <c r="B363" s="46">
        <v>482.78</v>
      </c>
      <c r="C363" s="46">
        <v>475.44</v>
      </c>
      <c r="D363" s="46">
        <v>475.44</v>
      </c>
      <c r="E363" s="46">
        <v>977879</v>
      </c>
      <c r="F363" s="46" t="s">
        <v>393</v>
      </c>
      <c r="G363" s="25">
        <f t="shared" si="10"/>
        <v>1.4134275618374659E-2</v>
      </c>
    </row>
    <row r="364" spans="1:7">
      <c r="A364" s="46">
        <v>478.98</v>
      </c>
      <c r="B364" s="46">
        <v>482.49990000000003</v>
      </c>
      <c r="C364" s="46">
        <v>477.1</v>
      </c>
      <c r="D364" s="46">
        <v>478.01</v>
      </c>
      <c r="E364" s="46">
        <v>809102</v>
      </c>
      <c r="F364" s="46" t="s">
        <v>394</v>
      </c>
      <c r="G364" s="25">
        <f t="shared" si="10"/>
        <v>2.029246250078609E-3</v>
      </c>
    </row>
    <row r="365" spans="1:7">
      <c r="A365" s="46">
        <v>480.17</v>
      </c>
      <c r="B365" s="46">
        <v>480.54</v>
      </c>
      <c r="C365" s="46">
        <v>474.16</v>
      </c>
      <c r="D365" s="46">
        <v>476.87</v>
      </c>
      <c r="E365" s="46">
        <v>1599862</v>
      </c>
      <c r="F365" s="46" t="s">
        <v>395</v>
      </c>
      <c r="G365" s="25">
        <f t="shared" si="10"/>
        <v>6.9201249816512878E-3</v>
      </c>
    </row>
    <row r="366" spans="1:7">
      <c r="A366" s="46">
        <v>471.21</v>
      </c>
      <c r="B366" s="46">
        <v>473.75</v>
      </c>
      <c r="C366" s="46">
        <v>466.34</v>
      </c>
      <c r="D366" s="46">
        <v>468.78</v>
      </c>
      <c r="E366" s="46">
        <v>1109652</v>
      </c>
      <c r="F366" s="46" t="s">
        <v>396</v>
      </c>
      <c r="G366" s="25">
        <f t="shared" si="10"/>
        <v>5.1836682452324201E-3</v>
      </c>
    </row>
    <row r="367" spans="1:7">
      <c r="A367" s="46">
        <v>469.23</v>
      </c>
      <c r="B367" s="46">
        <v>470.49</v>
      </c>
      <c r="C367" s="46">
        <v>463.01</v>
      </c>
      <c r="D367" s="46">
        <v>468.23</v>
      </c>
      <c r="E367" s="46">
        <v>891659</v>
      </c>
      <c r="F367" s="46" t="s">
        <v>397</v>
      </c>
      <c r="G367" s="25">
        <f t="shared" si="10"/>
        <v>2.1357025393502482E-3</v>
      </c>
    </row>
    <row r="368" spans="1:7">
      <c r="A368" s="46">
        <v>465.53</v>
      </c>
      <c r="B368" s="46">
        <v>466.815</v>
      </c>
      <c r="C368" s="46">
        <v>458.26499999999999</v>
      </c>
      <c r="D368" s="46">
        <v>464.76</v>
      </c>
      <c r="E368" s="46">
        <v>1013878</v>
      </c>
      <c r="F368" s="46" t="s">
        <v>398</v>
      </c>
      <c r="G368" s="25">
        <f t="shared" si="10"/>
        <v>1.6567690851192474E-3</v>
      </c>
    </row>
    <row r="369" spans="1:7">
      <c r="A369" s="46">
        <v>463.42500000000001</v>
      </c>
      <c r="B369" s="46">
        <v>465.7</v>
      </c>
      <c r="C369" s="46">
        <v>460.12</v>
      </c>
      <c r="D369" s="46">
        <v>462.59</v>
      </c>
      <c r="E369" s="46">
        <v>1022572</v>
      </c>
      <c r="F369" s="46" t="s">
        <v>399</v>
      </c>
      <c r="G369" s="25">
        <f t="shared" si="10"/>
        <v>1.8050541516245744E-3</v>
      </c>
    </row>
    <row r="370" spans="1:7">
      <c r="A370" s="46">
        <v>463.61</v>
      </c>
      <c r="B370" s="46">
        <v>464.13499999999999</v>
      </c>
      <c r="C370" s="46">
        <v>451.06</v>
      </c>
      <c r="D370" s="46">
        <v>453.6</v>
      </c>
      <c r="E370" s="46">
        <v>1289298</v>
      </c>
      <c r="F370" s="46" t="s">
        <v>400</v>
      </c>
      <c r="G370" s="25">
        <f t="shared" si="10"/>
        <v>2.2067901234567922E-2</v>
      </c>
    </row>
    <row r="371" spans="1:7">
      <c r="A371" s="46">
        <v>449.26</v>
      </c>
      <c r="B371" s="46">
        <v>461.7099</v>
      </c>
      <c r="C371" s="46">
        <v>448.59010000000001</v>
      </c>
      <c r="D371" s="46">
        <v>452</v>
      </c>
      <c r="E371" s="46">
        <v>1713170</v>
      </c>
      <c r="F371" s="46" t="s">
        <v>401</v>
      </c>
      <c r="G371" s="25">
        <f t="shared" si="10"/>
        <v>-6.0619469026549355E-3</v>
      </c>
    </row>
    <row r="372" spans="1:7">
      <c r="A372" s="46">
        <v>447.66</v>
      </c>
      <c r="B372" s="46">
        <v>456.24</v>
      </c>
      <c r="C372" s="46">
        <v>438.66</v>
      </c>
      <c r="D372" s="46">
        <v>439.01</v>
      </c>
      <c r="E372" s="46">
        <v>1686070</v>
      </c>
      <c r="F372" s="46" t="s">
        <v>402</v>
      </c>
      <c r="G372" s="25">
        <f t="shared" si="10"/>
        <v>1.970342361221844E-2</v>
      </c>
    </row>
    <row r="373" spans="1:7">
      <c r="A373" s="46">
        <v>438</v>
      </c>
      <c r="B373" s="46">
        <v>444.57499999999999</v>
      </c>
      <c r="C373" s="46">
        <v>429.6</v>
      </c>
      <c r="D373" s="46">
        <v>437.55</v>
      </c>
      <c r="E373" s="46">
        <v>2465683</v>
      </c>
      <c r="F373" s="46" t="s">
        <v>403</v>
      </c>
      <c r="G373" s="25">
        <f t="shared" si="10"/>
        <v>1.028453890983938E-3</v>
      </c>
    </row>
    <row r="374" spans="1:7">
      <c r="A374" s="46">
        <v>449.73</v>
      </c>
      <c r="B374" s="46">
        <v>455.73</v>
      </c>
      <c r="C374" s="46">
        <v>439.89</v>
      </c>
      <c r="D374" s="46">
        <v>455.73</v>
      </c>
      <c r="E374" s="46">
        <v>2059603</v>
      </c>
      <c r="F374" s="46" t="s">
        <v>404</v>
      </c>
      <c r="G374" s="25">
        <f t="shared" si="10"/>
        <v>-1.3165690211309311E-2</v>
      </c>
    </row>
    <row r="375" spans="1:7">
      <c r="A375" s="46">
        <v>450.94</v>
      </c>
      <c r="B375" s="46">
        <v>452.72</v>
      </c>
      <c r="C375" s="46">
        <v>443.3</v>
      </c>
      <c r="D375" s="46">
        <v>443.3</v>
      </c>
      <c r="E375" s="46">
        <v>2017899</v>
      </c>
      <c r="F375" s="46" t="s">
        <v>405</v>
      </c>
      <c r="G375" s="25">
        <f t="shared" si="10"/>
        <v>1.7234378524701111E-2</v>
      </c>
    </row>
    <row r="376" spans="1:7">
      <c r="A376" s="46">
        <v>444.61</v>
      </c>
      <c r="B376" s="46">
        <v>447.31</v>
      </c>
      <c r="C376" s="46">
        <v>432.40499999999997</v>
      </c>
      <c r="D376" s="46">
        <v>438.5</v>
      </c>
      <c r="E376" s="46">
        <v>1763234</v>
      </c>
      <c r="F376" s="46" t="s">
        <v>406</v>
      </c>
      <c r="G376" s="25">
        <f t="shared" si="10"/>
        <v>1.3933865450399097E-2</v>
      </c>
    </row>
    <row r="377" spans="1:7">
      <c r="A377" s="46">
        <v>432.69</v>
      </c>
      <c r="B377" s="46">
        <v>448.57499999999999</v>
      </c>
      <c r="C377" s="46">
        <v>431.56</v>
      </c>
      <c r="D377" s="46">
        <v>443.66</v>
      </c>
      <c r="E377" s="46">
        <v>1547686</v>
      </c>
      <c r="F377" s="46" t="s">
        <v>407</v>
      </c>
      <c r="G377" s="25">
        <f t="shared" si="10"/>
        <v>-2.4726141639994648E-2</v>
      </c>
    </row>
    <row r="378" spans="1:7">
      <c r="A378" s="46">
        <v>443.66</v>
      </c>
      <c r="B378" s="46">
        <v>448.27</v>
      </c>
      <c r="C378" s="46">
        <v>439.41</v>
      </c>
      <c r="D378" s="46">
        <v>446.6</v>
      </c>
      <c r="E378" s="46">
        <v>1120461</v>
      </c>
      <c r="F378" s="46" t="s">
        <v>408</v>
      </c>
      <c r="G378" s="25">
        <f t="shared" si="10"/>
        <v>-6.5830721003135029E-3</v>
      </c>
    </row>
    <row r="379" spans="1:7">
      <c r="A379" s="46">
        <v>441.3</v>
      </c>
      <c r="B379" s="46">
        <v>446.16</v>
      </c>
      <c r="C379" s="46">
        <v>432.87</v>
      </c>
      <c r="D379" s="46">
        <v>438.6</v>
      </c>
      <c r="E379" s="46">
        <v>1196597</v>
      </c>
      <c r="F379" s="46" t="s">
        <v>409</v>
      </c>
      <c r="G379" s="25">
        <f t="shared" si="10"/>
        <v>6.1559507523940571E-3</v>
      </c>
    </row>
    <row r="380" spans="1:7">
      <c r="A380" s="46">
        <v>436.74</v>
      </c>
      <c r="B380" s="46">
        <v>457.37</v>
      </c>
      <c r="C380" s="46">
        <v>436.2</v>
      </c>
      <c r="D380" s="46">
        <v>453.22</v>
      </c>
      <c r="E380" s="46">
        <v>1819212</v>
      </c>
      <c r="F380" s="46" t="s">
        <v>410</v>
      </c>
      <c r="G380" s="25">
        <f t="shared" si="10"/>
        <v>-3.6362031684391671E-2</v>
      </c>
    </row>
    <row r="381" spans="1:7">
      <c r="A381" s="46">
        <v>454.02</v>
      </c>
      <c r="B381" s="46">
        <v>460.59</v>
      </c>
      <c r="C381" s="46">
        <v>452.25</v>
      </c>
      <c r="D381" s="46">
        <v>455.25</v>
      </c>
      <c r="E381" s="46">
        <v>2296520</v>
      </c>
      <c r="F381" s="46" t="s">
        <v>411</v>
      </c>
      <c r="G381" s="25">
        <f t="shared" si="10"/>
        <v>-2.7018121911038806E-3</v>
      </c>
    </row>
    <row r="382" spans="1:7">
      <c r="A382" s="46">
        <v>455.06</v>
      </c>
      <c r="B382" s="46">
        <v>462.61</v>
      </c>
      <c r="C382" s="46">
        <v>454.36</v>
      </c>
      <c r="D382" s="46">
        <v>459.1</v>
      </c>
      <c r="E382" s="46">
        <v>1753079</v>
      </c>
      <c r="F382" s="46" t="s">
        <v>412</v>
      </c>
      <c r="G382" s="25">
        <f t="shared" si="10"/>
        <v>-8.7998257460248919E-3</v>
      </c>
    </row>
    <row r="383" spans="1:7">
      <c r="A383" s="46">
        <v>461.12</v>
      </c>
      <c r="B383" s="46">
        <v>468.7799</v>
      </c>
      <c r="C383" s="46">
        <v>459.18</v>
      </c>
      <c r="D383" s="46">
        <v>462.33</v>
      </c>
      <c r="E383" s="46">
        <v>2574379</v>
      </c>
      <c r="F383" s="46" t="s">
        <v>413</v>
      </c>
      <c r="G383" s="25">
        <f t="shared" si="10"/>
        <v>-2.6171782060432358E-3</v>
      </c>
    </row>
    <row r="384" spans="1:7">
      <c r="A384" s="46">
        <v>455.01</v>
      </c>
      <c r="B384" s="46">
        <v>456.81</v>
      </c>
      <c r="C384" s="46">
        <v>439</v>
      </c>
      <c r="D384" s="46">
        <v>449.43</v>
      </c>
      <c r="E384" s="46">
        <v>4201310</v>
      </c>
      <c r="F384" s="46" t="s">
        <v>414</v>
      </c>
      <c r="G384" s="25">
        <f t="shared" si="10"/>
        <v>1.2415726587010179E-2</v>
      </c>
    </row>
    <row r="385" spans="1:7">
      <c r="A385" s="46">
        <v>416.14</v>
      </c>
      <c r="B385" s="46">
        <v>427.33</v>
      </c>
      <c r="C385" s="46">
        <v>413.82</v>
      </c>
      <c r="D385" s="46">
        <v>425</v>
      </c>
      <c r="E385" s="46">
        <v>3856042</v>
      </c>
      <c r="F385" s="46" t="s">
        <v>415</v>
      </c>
      <c r="G385" s="25">
        <f t="shared" si="10"/>
        <v>-2.0847058823529441E-2</v>
      </c>
    </row>
    <row r="386" spans="1:7">
      <c r="A386" s="46">
        <v>426.23</v>
      </c>
      <c r="B386" s="46">
        <v>436.32499999999999</v>
      </c>
      <c r="C386" s="46">
        <v>426.01</v>
      </c>
      <c r="D386" s="46">
        <v>430.01</v>
      </c>
      <c r="E386" s="46">
        <v>2388617</v>
      </c>
      <c r="F386" s="46" t="s">
        <v>416</v>
      </c>
      <c r="G386" s="25">
        <f t="shared" si="10"/>
        <v>-8.7904932443431116E-3</v>
      </c>
    </row>
    <row r="387" spans="1:7">
      <c r="A387" s="46">
        <v>438.01</v>
      </c>
      <c r="B387" s="46">
        <v>442.09249999999997</v>
      </c>
      <c r="C387" s="46">
        <v>433.22</v>
      </c>
      <c r="D387" s="46">
        <v>440.84</v>
      </c>
      <c r="E387" s="46">
        <v>1436106</v>
      </c>
      <c r="F387" s="46" t="s">
        <v>417</v>
      </c>
      <c r="G387" s="25">
        <f t="shared" si="10"/>
        <v>-6.4195626531167171E-3</v>
      </c>
    </row>
    <row r="388" spans="1:7">
      <c r="A388" s="46">
        <v>437.25</v>
      </c>
      <c r="B388" s="46">
        <v>444.39499999999998</v>
      </c>
      <c r="C388" s="46">
        <v>433.9101</v>
      </c>
      <c r="D388" s="46">
        <v>444</v>
      </c>
      <c r="E388" s="46">
        <v>1573083</v>
      </c>
      <c r="F388" s="46" t="s">
        <v>418</v>
      </c>
      <c r="G388" s="25">
        <f t="shared" si="10"/>
        <v>-1.5202702702702742E-2</v>
      </c>
    </row>
    <row r="389" spans="1:7">
      <c r="A389" s="46">
        <v>444.16</v>
      </c>
      <c r="B389" s="46">
        <v>447.14</v>
      </c>
      <c r="C389" s="46">
        <v>439.61</v>
      </c>
      <c r="D389" s="46">
        <v>442.84</v>
      </c>
      <c r="E389" s="46">
        <v>1151601</v>
      </c>
      <c r="F389" s="46" t="s">
        <v>419</v>
      </c>
      <c r="G389" s="25">
        <f t="shared" si="10"/>
        <v>2.9807605455696162E-3</v>
      </c>
    </row>
    <row r="390" spans="1:7">
      <c r="A390" s="46">
        <v>443.5</v>
      </c>
      <c r="B390" s="46">
        <v>449</v>
      </c>
      <c r="C390" s="46">
        <v>442.7</v>
      </c>
      <c r="D390" s="46">
        <v>444.74</v>
      </c>
      <c r="E390" s="46">
        <v>1818580</v>
      </c>
      <c r="F390" s="46" t="s">
        <v>420</v>
      </c>
      <c r="G390" s="25">
        <f t="shared" si="10"/>
        <v>-2.7881458829878136E-3</v>
      </c>
    </row>
    <row r="391" spans="1:7">
      <c r="A391" s="46">
        <v>444.74</v>
      </c>
      <c r="B391" s="46">
        <v>445.48</v>
      </c>
      <c r="C391" s="46">
        <v>438.85</v>
      </c>
      <c r="D391" s="46">
        <v>441.69</v>
      </c>
      <c r="E391" s="46">
        <v>1082924</v>
      </c>
      <c r="F391" s="46" t="s">
        <v>421</v>
      </c>
      <c r="G391" s="25">
        <f t="shared" si="10"/>
        <v>6.9052955692907592E-3</v>
      </c>
    </row>
    <row r="392" spans="1:7">
      <c r="A392" s="46">
        <v>442.3</v>
      </c>
      <c r="B392" s="46">
        <v>447.62</v>
      </c>
      <c r="C392" s="46">
        <v>441.27</v>
      </c>
      <c r="D392" s="46">
        <v>447.62</v>
      </c>
      <c r="E392" s="46">
        <v>889602</v>
      </c>
      <c r="F392" s="46" t="s">
        <v>422</v>
      </c>
      <c r="G392" s="25">
        <f t="shared" si="10"/>
        <v>-1.188508109557207E-2</v>
      </c>
    </row>
    <row r="393" spans="1:7">
      <c r="A393" s="46">
        <v>444.53</v>
      </c>
      <c r="B393" s="46">
        <v>445.96</v>
      </c>
      <c r="C393" s="46">
        <v>441.56</v>
      </c>
      <c r="D393" s="46">
        <v>442.04</v>
      </c>
      <c r="E393" s="46">
        <v>1280739</v>
      </c>
      <c r="F393" s="46" t="s">
        <v>423</v>
      </c>
      <c r="G393" s="25">
        <f t="shared" si="10"/>
        <v>5.6329743914576014E-3</v>
      </c>
    </row>
    <row r="394" spans="1:7">
      <c r="A394" s="46">
        <v>443.76</v>
      </c>
      <c r="B394" s="46">
        <v>445.05</v>
      </c>
      <c r="C394" s="46">
        <v>433.44</v>
      </c>
      <c r="D394" s="46">
        <v>437.94</v>
      </c>
      <c r="E394" s="46">
        <v>1114523</v>
      </c>
      <c r="F394" s="46" t="s">
        <v>424</v>
      </c>
      <c r="G394" s="25">
        <f t="shared" si="10"/>
        <v>1.3289491711193202E-2</v>
      </c>
    </row>
    <row r="395" spans="1:7">
      <c r="A395" s="46">
        <v>434.81</v>
      </c>
      <c r="B395" s="46">
        <v>439</v>
      </c>
      <c r="C395" s="46">
        <v>432.9</v>
      </c>
      <c r="D395" s="46">
        <v>439</v>
      </c>
      <c r="E395" s="46">
        <v>826374</v>
      </c>
      <c r="F395" s="46" t="s">
        <v>425</v>
      </c>
      <c r="G395" s="25">
        <f t="shared" si="10"/>
        <v>-9.5444191343962981E-3</v>
      </c>
    </row>
    <row r="396" spans="1:7">
      <c r="A396" s="46">
        <v>438.81</v>
      </c>
      <c r="B396" s="46">
        <v>439.64330000000001</v>
      </c>
      <c r="C396" s="46">
        <v>432.2</v>
      </c>
      <c r="D396" s="46">
        <v>436.31</v>
      </c>
      <c r="E396" s="46">
        <v>1091594</v>
      </c>
      <c r="F396" s="46" t="s">
        <v>426</v>
      </c>
      <c r="G396" s="25">
        <f t="shared" si="10"/>
        <v>5.7298709633060163E-3</v>
      </c>
    </row>
    <row r="397" spans="1:7">
      <c r="A397" s="46">
        <v>436.24</v>
      </c>
      <c r="B397" s="46">
        <v>448.1</v>
      </c>
      <c r="C397" s="46">
        <v>433.79</v>
      </c>
      <c r="D397" s="46">
        <v>445.85</v>
      </c>
      <c r="E397" s="46">
        <v>1658861</v>
      </c>
      <c r="F397" s="46" t="s">
        <v>427</v>
      </c>
      <c r="G397" s="25">
        <f t="shared" si="10"/>
        <v>-2.1554334417404952E-2</v>
      </c>
    </row>
    <row r="398" spans="1:7">
      <c r="A398" s="46">
        <v>444.85</v>
      </c>
      <c r="B398" s="46">
        <v>447.11</v>
      </c>
      <c r="C398" s="46">
        <v>441.49</v>
      </c>
      <c r="D398" s="46">
        <v>444.74</v>
      </c>
      <c r="E398" s="46">
        <v>3106192</v>
      </c>
      <c r="F398" s="46" t="s">
        <v>428</v>
      </c>
      <c r="G398" s="25">
        <f t="shared" si="10"/>
        <v>2.4733552187794494E-4</v>
      </c>
    </row>
    <row r="399" spans="1:7">
      <c r="A399" s="46">
        <v>445.11</v>
      </c>
      <c r="B399" s="46">
        <v>445.79</v>
      </c>
      <c r="C399" s="46">
        <v>439.61</v>
      </c>
      <c r="D399" s="46">
        <v>442.1</v>
      </c>
      <c r="E399" s="46">
        <v>1226026</v>
      </c>
      <c r="F399" s="46" t="s">
        <v>429</v>
      </c>
      <c r="G399" s="25">
        <f t="shared" si="10"/>
        <v>6.8084143858855306E-3</v>
      </c>
    </row>
    <row r="400" spans="1:7">
      <c r="A400" s="46">
        <v>442.56</v>
      </c>
      <c r="B400" s="46">
        <v>443.83</v>
      </c>
      <c r="C400" s="46">
        <v>437.71</v>
      </c>
      <c r="D400" s="46">
        <v>441.25</v>
      </c>
      <c r="E400" s="46">
        <v>1360337</v>
      </c>
      <c r="F400" s="46" t="s">
        <v>430</v>
      </c>
      <c r="G400" s="25">
        <f t="shared" si="10"/>
        <v>2.9688385269122097E-3</v>
      </c>
    </row>
    <row r="401" spans="1:7">
      <c r="A401" s="46">
        <v>442.31</v>
      </c>
      <c r="B401" s="46">
        <v>443.81</v>
      </c>
      <c r="C401" s="46">
        <v>430.49</v>
      </c>
      <c r="D401" s="46">
        <v>431.12</v>
      </c>
      <c r="E401" s="46">
        <v>2636985</v>
      </c>
      <c r="F401" s="46" t="s">
        <v>431</v>
      </c>
      <c r="G401" s="25">
        <f t="shared" si="10"/>
        <v>2.5955650398960861E-2</v>
      </c>
    </row>
    <row r="402" spans="1:7">
      <c r="A402" s="46">
        <v>429.04</v>
      </c>
      <c r="B402" s="46">
        <v>435.7</v>
      </c>
      <c r="C402" s="46">
        <v>426.97</v>
      </c>
      <c r="D402" s="46">
        <v>432.78</v>
      </c>
      <c r="E402" s="46">
        <v>1610409</v>
      </c>
      <c r="F402" s="46" t="s">
        <v>432</v>
      </c>
      <c r="G402" s="25">
        <f t="shared" si="10"/>
        <v>-8.6418041499144449E-3</v>
      </c>
    </row>
    <row r="403" spans="1:7">
      <c r="A403" s="46">
        <v>432.56</v>
      </c>
      <c r="B403" s="46">
        <v>436.08</v>
      </c>
      <c r="C403" s="46">
        <v>430</v>
      </c>
      <c r="D403" s="46">
        <v>436.08</v>
      </c>
      <c r="E403" s="46">
        <v>2769405</v>
      </c>
      <c r="F403" s="46" t="s">
        <v>433</v>
      </c>
      <c r="G403" s="25">
        <f t="shared" si="10"/>
        <v>-8.0719134103833801E-3</v>
      </c>
    </row>
    <row r="404" spans="1:7">
      <c r="A404" s="46">
        <v>432.55</v>
      </c>
      <c r="B404" s="46">
        <v>437.2</v>
      </c>
      <c r="C404" s="46">
        <v>428.67</v>
      </c>
      <c r="D404" s="46">
        <v>435.99</v>
      </c>
      <c r="E404" s="46">
        <v>1291429</v>
      </c>
      <c r="F404" s="46" t="s">
        <v>434</v>
      </c>
      <c r="G404" s="25">
        <f t="shared" si="10"/>
        <v>-7.8900892222298902E-3</v>
      </c>
    </row>
    <row r="405" spans="1:7">
      <c r="A405" s="46">
        <v>435</v>
      </c>
      <c r="B405" s="46">
        <v>436.94</v>
      </c>
      <c r="C405" s="46">
        <v>428.75</v>
      </c>
      <c r="D405" s="46">
        <v>429.05</v>
      </c>
      <c r="E405" s="46">
        <v>1384583</v>
      </c>
      <c r="F405" s="46" t="s">
        <v>435</v>
      </c>
      <c r="G405" s="25">
        <f t="shared" si="10"/>
        <v>1.3867847570213199E-2</v>
      </c>
    </row>
    <row r="406" spans="1:7">
      <c r="A406" s="46">
        <v>430</v>
      </c>
      <c r="B406" s="46">
        <v>431.6</v>
      </c>
      <c r="C406" s="46">
        <v>423.58</v>
      </c>
      <c r="D406" s="46">
        <v>425.36</v>
      </c>
      <c r="E406" s="46">
        <v>1125221</v>
      </c>
      <c r="F406" s="46" t="s">
        <v>436</v>
      </c>
      <c r="G406" s="25">
        <f t="shared" si="10"/>
        <v>1.0908406996426478E-2</v>
      </c>
    </row>
    <row r="407" spans="1:7">
      <c r="A407" s="46">
        <v>425.78</v>
      </c>
      <c r="B407" s="46">
        <v>426.315</v>
      </c>
      <c r="C407" s="46">
        <v>413.98</v>
      </c>
      <c r="D407" s="46">
        <v>418.8</v>
      </c>
      <c r="E407" s="46">
        <v>940996</v>
      </c>
      <c r="F407" s="46" t="s">
        <v>437</v>
      </c>
      <c r="G407" s="25">
        <f t="shared" si="10"/>
        <v>1.6666666666666607E-2</v>
      </c>
    </row>
    <row r="408" spans="1:7">
      <c r="A408" s="46">
        <v>422.9</v>
      </c>
      <c r="B408" s="46">
        <v>428</v>
      </c>
      <c r="C408" s="46">
        <v>422.51</v>
      </c>
      <c r="D408" s="46">
        <v>424.74</v>
      </c>
      <c r="E408" s="46">
        <v>1142897</v>
      </c>
      <c r="F408" s="46" t="s">
        <v>438</v>
      </c>
      <c r="G408" s="25">
        <f t="shared" si="10"/>
        <v>-4.3320619673212768E-3</v>
      </c>
    </row>
    <row r="409" spans="1:7">
      <c r="A409" s="46">
        <v>428.1</v>
      </c>
      <c r="B409" s="46">
        <v>428.86</v>
      </c>
      <c r="C409" s="46">
        <v>420.86</v>
      </c>
      <c r="D409" s="46">
        <v>421.06</v>
      </c>
      <c r="E409" s="46">
        <v>1251686</v>
      </c>
      <c r="F409" s="46" t="s">
        <v>439</v>
      </c>
      <c r="G409" s="25">
        <f t="shared" si="10"/>
        <v>1.671970740512041E-2</v>
      </c>
    </row>
    <row r="410" spans="1:7">
      <c r="A410" s="46">
        <v>418.78</v>
      </c>
      <c r="B410" s="46">
        <v>420.22</v>
      </c>
      <c r="C410" s="46">
        <v>415.2</v>
      </c>
      <c r="D410" s="46">
        <v>417.04</v>
      </c>
      <c r="E410" s="46">
        <v>907852</v>
      </c>
      <c r="F410" s="46" t="s">
        <v>440</v>
      </c>
      <c r="G410" s="25">
        <f t="shared" si="10"/>
        <v>4.172261653558218E-3</v>
      </c>
    </row>
    <row r="411" spans="1:7">
      <c r="A411" s="46">
        <v>418.38</v>
      </c>
      <c r="B411" s="46">
        <v>419.87</v>
      </c>
      <c r="C411" s="46">
        <v>413.5224</v>
      </c>
      <c r="D411" s="46">
        <v>416.6</v>
      </c>
      <c r="E411" s="46">
        <v>815834</v>
      </c>
      <c r="F411" s="46" t="s">
        <v>441</v>
      </c>
      <c r="G411" s="25">
        <f t="shared" si="10"/>
        <v>4.2726836293807136E-3</v>
      </c>
    </row>
    <row r="412" spans="1:7">
      <c r="A412" s="46">
        <v>417.61</v>
      </c>
      <c r="B412" s="46">
        <v>420.57</v>
      </c>
      <c r="C412" s="46">
        <v>415.8</v>
      </c>
      <c r="D412" s="46">
        <v>418.13</v>
      </c>
      <c r="E412" s="46">
        <v>1199562</v>
      </c>
      <c r="F412" s="46" t="s">
        <v>442</v>
      </c>
      <c r="G412" s="25">
        <f t="shared" si="10"/>
        <v>-1.2436323631406232E-3</v>
      </c>
    </row>
    <row r="413" spans="1:7">
      <c r="A413" s="46">
        <v>418.15</v>
      </c>
      <c r="B413" s="46">
        <v>419.17</v>
      </c>
      <c r="C413" s="46">
        <v>405.08</v>
      </c>
      <c r="D413" s="46">
        <v>413.92</v>
      </c>
      <c r="E413" s="46">
        <v>1733351</v>
      </c>
      <c r="F413" s="46" t="s">
        <v>443</v>
      </c>
      <c r="G413" s="25">
        <f t="shared" si="10"/>
        <v>1.0219366061074542E-2</v>
      </c>
    </row>
    <row r="414" spans="1:7">
      <c r="A414" s="46">
        <v>417.24</v>
      </c>
      <c r="B414" s="46">
        <v>418.14</v>
      </c>
      <c r="C414" s="46">
        <v>407.33</v>
      </c>
      <c r="D414" s="46">
        <v>407.72</v>
      </c>
      <c r="E414" s="46">
        <v>2226648</v>
      </c>
      <c r="F414" s="46" t="s">
        <v>444</v>
      </c>
      <c r="G414" s="25">
        <f t="shared" si="10"/>
        <v>2.3349357402138615E-2</v>
      </c>
    </row>
    <row r="415" spans="1:7">
      <c r="A415" s="46">
        <v>406.61</v>
      </c>
      <c r="B415" s="46">
        <v>408.01</v>
      </c>
      <c r="C415" s="46">
        <v>397.47</v>
      </c>
      <c r="D415" s="46">
        <v>402.55</v>
      </c>
      <c r="E415" s="46">
        <v>936150</v>
      </c>
      <c r="F415" s="46" t="s">
        <v>445</v>
      </c>
      <c r="G415" s="25">
        <f t="shared" si="10"/>
        <v>1.0085703639299393E-2</v>
      </c>
    </row>
    <row r="416" spans="1:7">
      <c r="A416" s="46">
        <v>403.86</v>
      </c>
      <c r="B416" s="46">
        <v>405.33</v>
      </c>
      <c r="C416" s="46">
        <v>398.60250000000002</v>
      </c>
      <c r="D416" s="46">
        <v>402.89</v>
      </c>
      <c r="E416" s="46">
        <v>913144</v>
      </c>
      <c r="F416" s="46" t="s">
        <v>446</v>
      </c>
      <c r="G416" s="25">
        <f t="shared" si="10"/>
        <v>2.4076050534886928E-3</v>
      </c>
    </row>
    <row r="417" spans="1:7">
      <c r="A417" s="46">
        <v>402.12</v>
      </c>
      <c r="B417" s="46">
        <v>408.9</v>
      </c>
      <c r="C417" s="46">
        <v>396.48</v>
      </c>
      <c r="D417" s="46">
        <v>404.94</v>
      </c>
      <c r="E417" s="46">
        <v>1983052</v>
      </c>
      <c r="F417" s="46" t="s">
        <v>447</v>
      </c>
      <c r="G417" s="25">
        <f t="shared" ref="G417:G480" si="11">A417/D417-1</f>
        <v>-6.9639946658763829E-3</v>
      </c>
    </row>
    <row r="418" spans="1:7">
      <c r="A418" s="46">
        <v>403.39</v>
      </c>
      <c r="B418" s="46">
        <v>412.29</v>
      </c>
      <c r="C418" s="46">
        <v>400.49</v>
      </c>
      <c r="D418" s="46">
        <v>405</v>
      </c>
      <c r="E418" s="46">
        <v>1651082</v>
      </c>
      <c r="F418" s="46" t="s">
        <v>448</v>
      </c>
      <c r="G418" s="25">
        <f t="shared" si="11"/>
        <v>-3.9753086419753725E-3</v>
      </c>
    </row>
    <row r="419" spans="1:7">
      <c r="A419" s="46">
        <v>398.4</v>
      </c>
      <c r="B419" s="46">
        <v>403</v>
      </c>
      <c r="C419" s="46">
        <v>396.15100000000001</v>
      </c>
      <c r="D419" s="46">
        <v>396.59</v>
      </c>
      <c r="E419" s="46">
        <v>958223</v>
      </c>
      <c r="F419" s="46" t="s">
        <v>449</v>
      </c>
      <c r="G419" s="25">
        <f t="shared" si="11"/>
        <v>4.5639073098162619E-3</v>
      </c>
    </row>
    <row r="420" spans="1:7">
      <c r="A420" s="46">
        <v>401.03</v>
      </c>
      <c r="B420" s="46">
        <v>405.99</v>
      </c>
      <c r="C420" s="46">
        <v>398.29</v>
      </c>
      <c r="D420" s="46">
        <v>403.84500000000003</v>
      </c>
      <c r="E420" s="46">
        <v>964207</v>
      </c>
      <c r="F420" s="46" t="s">
        <v>450</v>
      </c>
      <c r="G420" s="25">
        <f t="shared" si="11"/>
        <v>-6.9704961061795023E-3</v>
      </c>
    </row>
    <row r="421" spans="1:7">
      <c r="A421" s="46">
        <v>404.85</v>
      </c>
      <c r="B421" s="46">
        <v>407.33</v>
      </c>
      <c r="C421" s="46">
        <v>397.01</v>
      </c>
      <c r="D421" s="46">
        <v>397.61</v>
      </c>
      <c r="E421" s="46">
        <v>1082160</v>
      </c>
      <c r="F421" s="46" t="s">
        <v>451</v>
      </c>
      <c r="G421" s="25">
        <f t="shared" si="11"/>
        <v>1.8208797565453683E-2</v>
      </c>
    </row>
    <row r="422" spans="1:7">
      <c r="A422" s="46">
        <v>398.39</v>
      </c>
      <c r="B422" s="46">
        <v>405.38</v>
      </c>
      <c r="C422" s="46">
        <v>396.38</v>
      </c>
      <c r="D422" s="46">
        <v>402.47</v>
      </c>
      <c r="E422" s="46">
        <v>1189539</v>
      </c>
      <c r="F422" s="46" t="s">
        <v>452</v>
      </c>
      <c r="G422" s="25">
        <f t="shared" si="11"/>
        <v>-1.0137401545456948E-2</v>
      </c>
    </row>
    <row r="423" spans="1:7">
      <c r="A423" s="46">
        <v>400.9</v>
      </c>
      <c r="B423" s="46">
        <v>408.43</v>
      </c>
      <c r="C423" s="46">
        <v>399.17</v>
      </c>
      <c r="D423" s="46">
        <v>402.56</v>
      </c>
      <c r="E423" s="46">
        <v>1355669</v>
      </c>
      <c r="F423" s="46" t="s">
        <v>453</v>
      </c>
      <c r="G423" s="25">
        <f t="shared" si="11"/>
        <v>-4.1236089030207701E-3</v>
      </c>
    </row>
    <row r="424" spans="1:7">
      <c r="A424" s="46">
        <v>402.11</v>
      </c>
      <c r="B424" s="46">
        <v>403</v>
      </c>
      <c r="C424" s="46">
        <v>397.1</v>
      </c>
      <c r="D424" s="46">
        <v>400</v>
      </c>
      <c r="E424" s="46">
        <v>1283375</v>
      </c>
      <c r="F424" s="46" t="s">
        <v>454</v>
      </c>
      <c r="G424" s="25">
        <f t="shared" si="11"/>
        <v>5.2750000000001407E-3</v>
      </c>
    </row>
    <row r="425" spans="1:7">
      <c r="A425" s="46">
        <v>400.03</v>
      </c>
      <c r="B425" s="46">
        <v>400.41</v>
      </c>
      <c r="C425" s="46">
        <v>395.6</v>
      </c>
      <c r="D425" s="46">
        <v>398.58</v>
      </c>
      <c r="E425" s="46">
        <v>951293</v>
      </c>
      <c r="F425" s="46" t="s">
        <v>455</v>
      </c>
      <c r="G425" s="25">
        <f t="shared" si="11"/>
        <v>3.6379145968186144E-3</v>
      </c>
    </row>
    <row r="426" spans="1:7">
      <c r="A426" s="46">
        <v>398.82</v>
      </c>
      <c r="B426" s="46">
        <v>398.96</v>
      </c>
      <c r="C426" s="46">
        <v>393.97770000000003</v>
      </c>
      <c r="D426" s="46">
        <v>396.19</v>
      </c>
      <c r="E426" s="46">
        <v>720293</v>
      </c>
      <c r="F426" s="46" t="s">
        <v>456</v>
      </c>
      <c r="G426" s="25">
        <f t="shared" si="11"/>
        <v>6.6382291324869058E-3</v>
      </c>
    </row>
    <row r="427" spans="1:7">
      <c r="A427" s="46">
        <v>396.43</v>
      </c>
      <c r="B427" s="46">
        <v>401.36</v>
      </c>
      <c r="C427" s="46">
        <v>396.02</v>
      </c>
      <c r="D427" s="46">
        <v>398.28</v>
      </c>
      <c r="E427" s="46">
        <v>1083935</v>
      </c>
      <c r="F427" s="46" t="s">
        <v>457</v>
      </c>
      <c r="G427" s="25">
        <f t="shared" si="11"/>
        <v>-4.6449733855578046E-3</v>
      </c>
    </row>
    <row r="428" spans="1:7">
      <c r="A428" s="46">
        <v>399.39</v>
      </c>
      <c r="B428" s="46">
        <v>399.66</v>
      </c>
      <c r="C428" s="46">
        <v>386</v>
      </c>
      <c r="D428" s="46">
        <v>387.22</v>
      </c>
      <c r="E428" s="46">
        <v>1200770</v>
      </c>
      <c r="F428" s="46" t="s">
        <v>458</v>
      </c>
      <c r="G428" s="25">
        <f t="shared" si="11"/>
        <v>3.1429161716853393E-2</v>
      </c>
    </row>
    <row r="429" spans="1:7">
      <c r="A429" s="46">
        <v>384.19</v>
      </c>
      <c r="B429" s="46">
        <v>384.80500000000001</v>
      </c>
      <c r="C429" s="46">
        <v>379.67</v>
      </c>
      <c r="D429" s="46">
        <v>382.4</v>
      </c>
      <c r="E429" s="46">
        <v>913529</v>
      </c>
      <c r="F429" s="46" t="s">
        <v>459</v>
      </c>
      <c r="G429" s="25">
        <f t="shared" si="11"/>
        <v>4.6809623430963399E-3</v>
      </c>
    </row>
    <row r="430" spans="1:7">
      <c r="A430" s="46">
        <v>380.88</v>
      </c>
      <c r="B430" s="46">
        <v>389.16</v>
      </c>
      <c r="C430" s="46">
        <v>380.65</v>
      </c>
      <c r="D430" s="46">
        <v>389.16</v>
      </c>
      <c r="E430" s="46">
        <v>1070927</v>
      </c>
      <c r="F430" s="46" t="s">
        <v>460</v>
      </c>
      <c r="G430" s="25">
        <f t="shared" si="11"/>
        <v>-2.1276595744680882E-2</v>
      </c>
    </row>
    <row r="431" spans="1:7">
      <c r="A431" s="46">
        <v>386.7</v>
      </c>
      <c r="B431" s="46">
        <v>389.76</v>
      </c>
      <c r="C431" s="46">
        <v>383.88</v>
      </c>
      <c r="D431" s="46">
        <v>385.55</v>
      </c>
      <c r="E431" s="46">
        <v>853114</v>
      </c>
      <c r="F431" s="46" t="s">
        <v>461</v>
      </c>
      <c r="G431" s="25">
        <f t="shared" si="11"/>
        <v>2.9827519128517999E-3</v>
      </c>
    </row>
    <row r="432" spans="1:7">
      <c r="A432" s="46">
        <v>385.45</v>
      </c>
      <c r="B432" s="46">
        <v>387.33</v>
      </c>
      <c r="C432" s="46">
        <v>380.69</v>
      </c>
      <c r="D432" s="46">
        <v>381.79</v>
      </c>
      <c r="E432" s="46">
        <v>882194</v>
      </c>
      <c r="F432" s="46" t="s">
        <v>462</v>
      </c>
      <c r="G432" s="25">
        <f t="shared" si="11"/>
        <v>9.5864218549464031E-3</v>
      </c>
    </row>
    <row r="433" spans="1:7">
      <c r="A433" s="46">
        <v>380.37</v>
      </c>
      <c r="B433" s="46">
        <v>386.01</v>
      </c>
      <c r="C433" s="46">
        <v>380.125</v>
      </c>
      <c r="D433" s="46">
        <v>384.93</v>
      </c>
      <c r="E433" s="46">
        <v>1107975</v>
      </c>
      <c r="F433" s="46" t="s">
        <v>463</v>
      </c>
      <c r="G433" s="25">
        <f t="shared" si="11"/>
        <v>-1.1846309718650194E-2</v>
      </c>
    </row>
    <row r="434" spans="1:7">
      <c r="A434" s="46">
        <v>388.65</v>
      </c>
      <c r="B434" s="46">
        <v>389.78</v>
      </c>
      <c r="C434" s="46">
        <v>383.05</v>
      </c>
      <c r="D434" s="46">
        <v>385.005</v>
      </c>
      <c r="E434" s="46">
        <v>932790</v>
      </c>
      <c r="F434" s="46" t="s">
        <v>464</v>
      </c>
      <c r="G434" s="25">
        <f t="shared" si="11"/>
        <v>9.4674095141620285E-3</v>
      </c>
    </row>
    <row r="435" spans="1:7">
      <c r="A435" s="46">
        <v>383.05</v>
      </c>
      <c r="B435" s="46">
        <v>384.35</v>
      </c>
      <c r="C435" s="46">
        <v>380.6</v>
      </c>
      <c r="D435" s="46">
        <v>382.63</v>
      </c>
      <c r="E435" s="46">
        <v>878194</v>
      </c>
      <c r="F435" s="46" t="s">
        <v>465</v>
      </c>
      <c r="G435" s="25">
        <f t="shared" si="11"/>
        <v>1.0976661526802545E-3</v>
      </c>
    </row>
    <row r="436" spans="1:7">
      <c r="A436" s="46">
        <v>381.36</v>
      </c>
      <c r="B436" s="46">
        <v>384.47</v>
      </c>
      <c r="C436" s="46">
        <v>378.87</v>
      </c>
      <c r="D436" s="46">
        <v>380</v>
      </c>
      <c r="E436" s="46">
        <v>1028858</v>
      </c>
      <c r="F436" s="46" t="s">
        <v>466</v>
      </c>
      <c r="G436" s="25">
        <f t="shared" si="11"/>
        <v>3.5789473684211259E-3</v>
      </c>
    </row>
    <row r="437" spans="1:7">
      <c r="A437" s="46">
        <v>377.65</v>
      </c>
      <c r="B437" s="46">
        <v>377.88</v>
      </c>
      <c r="C437" s="46">
        <v>367.38499999999999</v>
      </c>
      <c r="D437" s="46">
        <v>373.64</v>
      </c>
      <c r="E437" s="46">
        <v>1208612</v>
      </c>
      <c r="F437" s="46" t="s">
        <v>467</v>
      </c>
      <c r="G437" s="25">
        <f t="shared" si="11"/>
        <v>1.0732255647146971E-2</v>
      </c>
    </row>
    <row r="438" spans="1:7">
      <c r="A438" s="46">
        <v>371.7</v>
      </c>
      <c r="B438" s="46">
        <v>379.5</v>
      </c>
      <c r="C438" s="46">
        <v>368.6</v>
      </c>
      <c r="D438" s="46">
        <v>369.57</v>
      </c>
      <c r="E438" s="46">
        <v>952256</v>
      </c>
      <c r="F438" s="46" t="s">
        <v>468</v>
      </c>
      <c r="G438" s="25">
        <f t="shared" si="11"/>
        <v>5.7634548258786999E-3</v>
      </c>
    </row>
    <row r="439" spans="1:7">
      <c r="A439" s="46">
        <v>370.62</v>
      </c>
      <c r="B439" s="46">
        <v>373.68</v>
      </c>
      <c r="C439" s="46">
        <v>368.75</v>
      </c>
      <c r="D439" s="46">
        <v>373.18</v>
      </c>
      <c r="E439" s="46">
        <v>1213211</v>
      </c>
      <c r="F439" s="46" t="s">
        <v>469</v>
      </c>
      <c r="G439" s="25">
        <f t="shared" si="11"/>
        <v>-6.859960340854232E-3</v>
      </c>
    </row>
    <row r="440" spans="1:7">
      <c r="A440" s="46">
        <v>374.14</v>
      </c>
      <c r="B440" s="46">
        <v>377.99</v>
      </c>
      <c r="C440" s="46">
        <v>372.06</v>
      </c>
      <c r="D440" s="46">
        <v>375.39</v>
      </c>
      <c r="E440" s="46">
        <v>983225</v>
      </c>
      <c r="F440" s="46" t="s">
        <v>470</v>
      </c>
      <c r="G440" s="25">
        <f t="shared" si="11"/>
        <v>-3.3298702682543757E-3</v>
      </c>
    </row>
    <row r="441" spans="1:7">
      <c r="A441" s="46">
        <v>375.33</v>
      </c>
      <c r="B441" s="46">
        <v>377.83</v>
      </c>
      <c r="C441" s="46">
        <v>368.1</v>
      </c>
      <c r="D441" s="46">
        <v>368.1</v>
      </c>
      <c r="E441" s="46">
        <v>927845</v>
      </c>
      <c r="F441" s="46" t="s">
        <v>471</v>
      </c>
      <c r="G441" s="25">
        <f t="shared" si="11"/>
        <v>1.9641401792990898E-2</v>
      </c>
    </row>
    <row r="442" spans="1:7">
      <c r="A442" s="46">
        <v>373.12</v>
      </c>
      <c r="B442" s="46">
        <v>375.46</v>
      </c>
      <c r="C442" s="46">
        <v>367.66</v>
      </c>
      <c r="D442" s="46">
        <v>374.12</v>
      </c>
      <c r="E442" s="46">
        <v>1262618</v>
      </c>
      <c r="F442" s="46" t="s">
        <v>472</v>
      </c>
      <c r="G442" s="25">
        <f t="shared" si="11"/>
        <v>-2.6729391639046529E-3</v>
      </c>
    </row>
    <row r="443" spans="1:7">
      <c r="A443" s="46">
        <v>375.01</v>
      </c>
      <c r="B443" s="46">
        <v>383.62</v>
      </c>
      <c r="C443" s="46">
        <v>372.83</v>
      </c>
      <c r="D443" s="46">
        <v>374</v>
      </c>
      <c r="E443" s="46">
        <v>1325633</v>
      </c>
      <c r="F443" s="46" t="s">
        <v>473</v>
      </c>
      <c r="G443" s="25">
        <f t="shared" si="11"/>
        <v>2.7005347593582751E-3</v>
      </c>
    </row>
    <row r="444" spans="1:7">
      <c r="A444" s="46">
        <v>377.08</v>
      </c>
      <c r="B444" s="46">
        <v>379.77350000000001</v>
      </c>
      <c r="C444" s="46">
        <v>368.68</v>
      </c>
      <c r="D444" s="46">
        <v>370.88</v>
      </c>
      <c r="E444" s="46">
        <v>1858757</v>
      </c>
      <c r="F444" s="46" t="s">
        <v>474</v>
      </c>
      <c r="G444" s="25">
        <f t="shared" si="11"/>
        <v>1.671699741156174E-2</v>
      </c>
    </row>
    <row r="445" spans="1:7">
      <c r="A445" s="46">
        <v>368.93</v>
      </c>
      <c r="B445" s="46">
        <v>371.83</v>
      </c>
      <c r="C445" s="46">
        <v>364.31</v>
      </c>
      <c r="D445" s="46">
        <v>369.54</v>
      </c>
      <c r="E445" s="46">
        <v>1603144</v>
      </c>
      <c r="F445" s="46" t="s">
        <v>475</v>
      </c>
      <c r="G445" s="25">
        <f t="shared" si="11"/>
        <v>-1.6507008713536608E-3</v>
      </c>
    </row>
    <row r="446" spans="1:7">
      <c r="A446" s="46">
        <v>366.34</v>
      </c>
      <c r="B446" s="46">
        <v>388.65</v>
      </c>
      <c r="C446" s="46">
        <v>364.17</v>
      </c>
      <c r="D446" s="46">
        <v>385.27</v>
      </c>
      <c r="E446" s="46">
        <v>3975892</v>
      </c>
      <c r="F446" s="46" t="s">
        <v>476</v>
      </c>
      <c r="G446" s="25">
        <f t="shared" si="11"/>
        <v>-4.9134373296649159E-2</v>
      </c>
    </row>
    <row r="447" spans="1:7">
      <c r="A447" s="46">
        <v>372.63</v>
      </c>
      <c r="B447" s="46">
        <v>375.3347</v>
      </c>
      <c r="C447" s="46">
        <v>369.15</v>
      </c>
      <c r="D447" s="46">
        <v>372.57</v>
      </c>
      <c r="E447" s="46">
        <v>2320460</v>
      </c>
      <c r="F447" s="46" t="s">
        <v>477</v>
      </c>
      <c r="G447" s="25">
        <f t="shared" si="11"/>
        <v>1.6104356228363592E-4</v>
      </c>
    </row>
    <row r="448" spans="1:7">
      <c r="A448" s="46">
        <v>374.17</v>
      </c>
      <c r="B448" s="46">
        <v>379.71</v>
      </c>
      <c r="C448" s="46">
        <v>371.14</v>
      </c>
      <c r="D448" s="46">
        <v>378.93</v>
      </c>
      <c r="E448" s="46">
        <v>1625645</v>
      </c>
      <c r="F448" s="46" t="s">
        <v>478</v>
      </c>
      <c r="G448" s="25">
        <f t="shared" si="11"/>
        <v>-1.2561686855091958E-2</v>
      </c>
    </row>
    <row r="449" spans="1:7">
      <c r="A449" s="46">
        <v>378.55</v>
      </c>
      <c r="B449" s="46">
        <v>383.85</v>
      </c>
      <c r="C449" s="46">
        <v>371.54</v>
      </c>
      <c r="D449" s="46">
        <v>376.63</v>
      </c>
      <c r="E449" s="46">
        <v>1602985</v>
      </c>
      <c r="F449" s="46" t="s">
        <v>479</v>
      </c>
      <c r="G449" s="25">
        <f t="shared" si="11"/>
        <v>5.0978413827895697E-3</v>
      </c>
    </row>
    <row r="450" spans="1:7">
      <c r="A450" s="46">
        <v>377.36</v>
      </c>
      <c r="B450" s="46">
        <v>392.29</v>
      </c>
      <c r="C450" s="46">
        <v>376.33</v>
      </c>
      <c r="D450" s="46">
        <v>392.25</v>
      </c>
      <c r="E450" s="46">
        <v>1650717</v>
      </c>
      <c r="F450" s="46" t="s">
        <v>480</v>
      </c>
      <c r="G450" s="25">
        <f t="shared" si="11"/>
        <v>-3.7960484384958582E-2</v>
      </c>
    </row>
    <row r="451" spans="1:7">
      <c r="A451" s="46">
        <v>384.8</v>
      </c>
      <c r="B451" s="46">
        <v>388.26</v>
      </c>
      <c r="C451" s="46">
        <v>380.71</v>
      </c>
      <c r="D451" s="46">
        <v>387</v>
      </c>
      <c r="E451" s="46">
        <v>1476001</v>
      </c>
      <c r="F451" s="46" t="s">
        <v>481</v>
      </c>
      <c r="G451" s="25">
        <f t="shared" si="11"/>
        <v>-5.6847545219638196E-3</v>
      </c>
    </row>
    <row r="452" spans="1:7">
      <c r="A452" s="46">
        <v>392.26</v>
      </c>
      <c r="B452" s="46">
        <v>392.8</v>
      </c>
      <c r="C452" s="46">
        <v>387.58</v>
      </c>
      <c r="D452" s="46">
        <v>387.58</v>
      </c>
      <c r="E452" s="46">
        <v>1186680</v>
      </c>
      <c r="F452" s="46" t="s">
        <v>482</v>
      </c>
      <c r="G452" s="25">
        <f t="shared" si="11"/>
        <v>1.2074926466793867E-2</v>
      </c>
    </row>
    <row r="453" spans="1:7">
      <c r="A453" s="46">
        <v>388.46</v>
      </c>
      <c r="B453" s="46">
        <v>391.46</v>
      </c>
      <c r="C453" s="46">
        <v>385.51</v>
      </c>
      <c r="D453" s="46">
        <v>387.16</v>
      </c>
      <c r="E453" s="46">
        <v>1198861</v>
      </c>
      <c r="F453" s="46" t="s">
        <v>483</v>
      </c>
      <c r="G453" s="25">
        <f t="shared" si="11"/>
        <v>3.3577848951336087E-3</v>
      </c>
    </row>
    <row r="454" spans="1:7">
      <c r="A454" s="46">
        <v>390.96</v>
      </c>
      <c r="B454" s="46">
        <v>391.18</v>
      </c>
      <c r="C454" s="46">
        <v>383.81</v>
      </c>
      <c r="D454" s="46">
        <v>389.95</v>
      </c>
      <c r="E454" s="46">
        <v>1120631</v>
      </c>
      <c r="F454" s="46" t="s">
        <v>484</v>
      </c>
      <c r="G454" s="25">
        <f t="shared" si="11"/>
        <v>2.5900756507244438E-3</v>
      </c>
    </row>
    <row r="455" spans="1:7">
      <c r="A455" s="46">
        <v>386.93</v>
      </c>
      <c r="B455" s="46">
        <v>389.88499999999999</v>
      </c>
      <c r="C455" s="46">
        <v>383.04</v>
      </c>
      <c r="D455" s="46">
        <v>388.39</v>
      </c>
      <c r="E455" s="46">
        <v>947434</v>
      </c>
      <c r="F455" s="46" t="s">
        <v>485</v>
      </c>
      <c r="G455" s="25">
        <f t="shared" si="11"/>
        <v>-3.7591081129791926E-3</v>
      </c>
    </row>
    <row r="456" spans="1:7">
      <c r="A456" s="46">
        <v>388.39</v>
      </c>
      <c r="B456" s="46">
        <v>393.66</v>
      </c>
      <c r="C456" s="46">
        <v>379.24</v>
      </c>
      <c r="D456" s="46">
        <v>381.12</v>
      </c>
      <c r="E456" s="46">
        <v>1404465</v>
      </c>
      <c r="F456" s="46" t="s">
        <v>486</v>
      </c>
      <c r="G456" s="25">
        <f t="shared" si="11"/>
        <v>1.9075356842989111E-2</v>
      </c>
    </row>
    <row r="457" spans="1:7">
      <c r="A457" s="46">
        <v>378.92</v>
      </c>
      <c r="B457" s="46">
        <v>389.02499999999998</v>
      </c>
      <c r="C457" s="46">
        <v>378.62</v>
      </c>
      <c r="D457" s="46">
        <v>387.76</v>
      </c>
      <c r="E457" s="46">
        <v>1603036</v>
      </c>
      <c r="F457" s="46" t="s">
        <v>487</v>
      </c>
      <c r="G457" s="25">
        <f t="shared" si="11"/>
        <v>-2.279760676707232E-2</v>
      </c>
    </row>
    <row r="458" spans="1:7">
      <c r="A458" s="46">
        <v>383.42</v>
      </c>
      <c r="B458" s="46">
        <v>388.29</v>
      </c>
      <c r="C458" s="46">
        <v>382.22</v>
      </c>
      <c r="D458" s="46">
        <v>383.77</v>
      </c>
      <c r="E458" s="46">
        <v>1634337</v>
      </c>
      <c r="F458" s="46" t="s">
        <v>488</v>
      </c>
      <c r="G458" s="25">
        <f t="shared" si="11"/>
        <v>-9.1200458608009516E-4</v>
      </c>
    </row>
    <row r="459" spans="1:7">
      <c r="A459" s="46">
        <v>382.36</v>
      </c>
      <c r="B459" s="46">
        <v>391.99</v>
      </c>
      <c r="C459" s="46">
        <v>380.51</v>
      </c>
      <c r="D459" s="46">
        <v>391.99</v>
      </c>
      <c r="E459" s="46">
        <v>2334124</v>
      </c>
      <c r="F459" s="46" t="s">
        <v>489</v>
      </c>
      <c r="G459" s="25">
        <f t="shared" si="11"/>
        <v>-2.4566953238603029E-2</v>
      </c>
    </row>
    <row r="460" spans="1:7">
      <c r="A460" s="46">
        <v>394.87</v>
      </c>
      <c r="B460" s="46">
        <v>399.64</v>
      </c>
      <c r="C460" s="46">
        <v>392.22</v>
      </c>
      <c r="D460" s="46">
        <v>399</v>
      </c>
      <c r="E460" s="46">
        <v>1159879</v>
      </c>
      <c r="F460" s="46" t="s">
        <v>490</v>
      </c>
      <c r="G460" s="25">
        <f t="shared" si="11"/>
        <v>-1.0350877192982444E-2</v>
      </c>
    </row>
    <row r="461" spans="1:7">
      <c r="A461" s="46">
        <v>399.09</v>
      </c>
      <c r="B461" s="46">
        <v>402.5</v>
      </c>
      <c r="C461" s="46">
        <v>397.06</v>
      </c>
      <c r="D461" s="46">
        <v>401.45</v>
      </c>
      <c r="E461" s="46">
        <v>1124780</v>
      </c>
      <c r="F461" s="46" t="s">
        <v>491</v>
      </c>
      <c r="G461" s="25">
        <f t="shared" si="11"/>
        <v>-5.8786897496575508E-3</v>
      </c>
    </row>
    <row r="462" spans="1:7">
      <c r="A462" s="46">
        <v>400.1</v>
      </c>
      <c r="B462" s="46">
        <v>403.75900000000001</v>
      </c>
      <c r="C462" s="46">
        <v>397.5</v>
      </c>
      <c r="D462" s="46">
        <v>403.02</v>
      </c>
      <c r="E462" s="46">
        <v>1374665</v>
      </c>
      <c r="F462" s="46" t="s">
        <v>492</v>
      </c>
      <c r="G462" s="25">
        <f t="shared" si="11"/>
        <v>-7.2452980000990985E-3</v>
      </c>
    </row>
    <row r="463" spans="1:7">
      <c r="A463" s="46">
        <v>397.63</v>
      </c>
      <c r="B463" s="46">
        <v>399.5625</v>
      </c>
      <c r="C463" s="46">
        <v>392.28500000000003</v>
      </c>
      <c r="D463" s="46">
        <v>394.37</v>
      </c>
      <c r="E463" s="46">
        <v>1543001</v>
      </c>
      <c r="F463" s="46" t="s">
        <v>493</v>
      </c>
      <c r="G463" s="25">
        <f t="shared" si="11"/>
        <v>8.2663488602074953E-3</v>
      </c>
    </row>
    <row r="464" spans="1:7">
      <c r="A464" s="46">
        <v>391.71</v>
      </c>
      <c r="B464" s="46">
        <v>396.9</v>
      </c>
      <c r="C464" s="46">
        <v>390.5</v>
      </c>
      <c r="D464" s="46">
        <v>393.59</v>
      </c>
      <c r="E464" s="46">
        <v>1117411</v>
      </c>
      <c r="F464" s="46" t="s">
        <v>494</v>
      </c>
      <c r="G464" s="25">
        <f t="shared" si="11"/>
        <v>-4.7765441195152247E-3</v>
      </c>
    </row>
    <row r="465" spans="1:7">
      <c r="A465" s="46">
        <v>394.07</v>
      </c>
      <c r="B465" s="46">
        <v>394.51</v>
      </c>
      <c r="C465" s="46">
        <v>387.17</v>
      </c>
      <c r="D465" s="46">
        <v>392.45</v>
      </c>
      <c r="E465" s="46">
        <v>1562713</v>
      </c>
      <c r="F465" s="46" t="s">
        <v>495</v>
      </c>
      <c r="G465" s="25">
        <f t="shared" si="11"/>
        <v>4.1279143839980659E-3</v>
      </c>
    </row>
    <row r="466" spans="1:7">
      <c r="A466" s="46">
        <v>391.96</v>
      </c>
      <c r="B466" s="46">
        <v>397</v>
      </c>
      <c r="C466" s="46">
        <v>391.93</v>
      </c>
      <c r="D466" s="46">
        <v>394</v>
      </c>
      <c r="E466" s="46">
        <v>920837</v>
      </c>
      <c r="F466" s="46" t="s">
        <v>496</v>
      </c>
      <c r="G466" s="25">
        <f t="shared" si="11"/>
        <v>-5.1776649746193559E-3</v>
      </c>
    </row>
    <row r="467" spans="1:7">
      <c r="A467" s="46">
        <v>390.37</v>
      </c>
      <c r="B467" s="46">
        <v>390.67</v>
      </c>
      <c r="C467" s="46">
        <v>384.4</v>
      </c>
      <c r="D467" s="46">
        <v>390.39</v>
      </c>
      <c r="E467" s="46">
        <v>930134</v>
      </c>
      <c r="F467" s="46" t="s">
        <v>497</v>
      </c>
      <c r="G467" s="25">
        <f t="shared" si="11"/>
        <v>-5.1230820461545257E-5</v>
      </c>
    </row>
    <row r="468" spans="1:7">
      <c r="A468" s="46">
        <v>390.53</v>
      </c>
      <c r="B468" s="46">
        <v>392.58</v>
      </c>
      <c r="C468" s="46">
        <v>381.77</v>
      </c>
      <c r="D468" s="46">
        <v>391.99</v>
      </c>
      <c r="E468" s="46">
        <v>1610816</v>
      </c>
      <c r="F468" s="46" t="s">
        <v>498</v>
      </c>
      <c r="G468" s="25">
        <f t="shared" si="11"/>
        <v>-3.7245848108371504E-3</v>
      </c>
    </row>
    <row r="469" spans="1:7">
      <c r="A469" s="46">
        <v>392.62</v>
      </c>
      <c r="B469" s="46">
        <v>401.27</v>
      </c>
      <c r="C469" s="46">
        <v>390.79</v>
      </c>
      <c r="D469" s="46">
        <v>399.6</v>
      </c>
      <c r="E469" s="46">
        <v>1654503</v>
      </c>
      <c r="F469" s="46" t="s">
        <v>499</v>
      </c>
      <c r="G469" s="25">
        <f t="shared" si="11"/>
        <v>-1.7467467467467523E-2</v>
      </c>
    </row>
    <row r="470" spans="1:7">
      <c r="A470" s="46">
        <v>396.28</v>
      </c>
      <c r="B470" s="46">
        <v>398.16</v>
      </c>
      <c r="C470" s="46">
        <v>382.63</v>
      </c>
      <c r="D470" s="46">
        <v>398.16</v>
      </c>
      <c r="E470" s="46">
        <v>3906792</v>
      </c>
      <c r="F470" s="46" t="s">
        <v>500</v>
      </c>
      <c r="G470" s="25">
        <f t="shared" si="11"/>
        <v>-4.721719911593425E-3</v>
      </c>
    </row>
    <row r="471" spans="1:7">
      <c r="A471" s="46">
        <v>384.31</v>
      </c>
      <c r="B471" s="46">
        <v>384.43</v>
      </c>
      <c r="C471" s="46">
        <v>376.6</v>
      </c>
      <c r="D471" s="46">
        <v>383.23</v>
      </c>
      <c r="E471" s="46">
        <v>1413037</v>
      </c>
      <c r="F471" s="46" t="s">
        <v>501</v>
      </c>
      <c r="G471" s="25">
        <f t="shared" si="11"/>
        <v>2.8181509798292925E-3</v>
      </c>
    </row>
    <row r="472" spans="1:7">
      <c r="A472" s="46">
        <v>382.99</v>
      </c>
      <c r="B472" s="46">
        <v>390.69</v>
      </c>
      <c r="C472" s="46">
        <v>380.98500000000001</v>
      </c>
      <c r="D472" s="46">
        <v>389.67</v>
      </c>
      <c r="E472" s="46">
        <v>1447955</v>
      </c>
      <c r="F472" s="46" t="s">
        <v>502</v>
      </c>
      <c r="G472" s="25">
        <f t="shared" si="11"/>
        <v>-1.7142710498627034E-2</v>
      </c>
    </row>
    <row r="473" spans="1:7">
      <c r="A473" s="46">
        <v>389.4</v>
      </c>
      <c r="B473" s="46">
        <v>390.255</v>
      </c>
      <c r="C473" s="46">
        <v>378.52</v>
      </c>
      <c r="D473" s="46">
        <v>378.9</v>
      </c>
      <c r="E473" s="46">
        <v>1446493</v>
      </c>
      <c r="F473" s="46" t="s">
        <v>503</v>
      </c>
      <c r="G473" s="25">
        <f t="shared" si="11"/>
        <v>2.7711797307996777E-2</v>
      </c>
    </row>
    <row r="474" spans="1:7">
      <c r="A474" s="46">
        <v>378.9</v>
      </c>
      <c r="B474" s="46">
        <v>391</v>
      </c>
      <c r="C474" s="46">
        <v>377.44</v>
      </c>
      <c r="D474" s="46">
        <v>391</v>
      </c>
      <c r="E474" s="46">
        <v>1602471</v>
      </c>
      <c r="F474" s="46" t="s">
        <v>504</v>
      </c>
      <c r="G474" s="25">
        <f t="shared" si="11"/>
        <v>-3.0946291560102313E-2</v>
      </c>
    </row>
    <row r="475" spans="1:7">
      <c r="A475" s="46">
        <v>391.85</v>
      </c>
      <c r="B475" s="46">
        <v>395.93</v>
      </c>
      <c r="C475" s="46">
        <v>390.79</v>
      </c>
      <c r="D475" s="46">
        <v>392.02</v>
      </c>
      <c r="E475" s="46">
        <v>1737950</v>
      </c>
      <c r="F475" s="46" t="s">
        <v>505</v>
      </c>
      <c r="G475" s="25">
        <f t="shared" si="11"/>
        <v>-4.3365134431905261E-4</v>
      </c>
    </row>
    <row r="476" spans="1:7">
      <c r="A476" s="46">
        <v>392.68</v>
      </c>
      <c r="B476" s="46">
        <v>396.61</v>
      </c>
      <c r="C476" s="46">
        <v>390.35</v>
      </c>
      <c r="D476" s="46">
        <v>393.3</v>
      </c>
      <c r="E476" s="46">
        <v>1797733</v>
      </c>
      <c r="F476" s="46" t="s">
        <v>506</v>
      </c>
      <c r="G476" s="25">
        <f t="shared" si="11"/>
        <v>-1.576404780066154E-3</v>
      </c>
    </row>
    <row r="477" spans="1:7">
      <c r="A477" s="46">
        <v>388.16</v>
      </c>
      <c r="B477" s="46">
        <v>393.13600000000002</v>
      </c>
      <c r="C477" s="46">
        <v>386.76</v>
      </c>
      <c r="D477" s="46">
        <v>386.76</v>
      </c>
      <c r="E477" s="46">
        <v>1203238</v>
      </c>
      <c r="F477" s="46" t="s">
        <v>507</v>
      </c>
      <c r="G477" s="25">
        <f t="shared" si="11"/>
        <v>3.619815906505508E-3</v>
      </c>
    </row>
    <row r="478" spans="1:7">
      <c r="A478" s="46">
        <v>387.32</v>
      </c>
      <c r="B478" s="46">
        <v>400.41</v>
      </c>
      <c r="C478" s="46">
        <v>386.3</v>
      </c>
      <c r="D478" s="46">
        <v>400</v>
      </c>
      <c r="E478" s="46">
        <v>1610642</v>
      </c>
      <c r="F478" s="46" t="s">
        <v>508</v>
      </c>
      <c r="G478" s="25">
        <f t="shared" si="11"/>
        <v>-3.1700000000000061E-2</v>
      </c>
    </row>
    <row r="479" spans="1:7">
      <c r="A479" s="46">
        <v>400.59</v>
      </c>
      <c r="B479" s="46">
        <v>403</v>
      </c>
      <c r="C479" s="46">
        <v>396.51</v>
      </c>
      <c r="D479" s="46">
        <v>398.3</v>
      </c>
      <c r="E479" s="46">
        <v>1943687</v>
      </c>
      <c r="F479" s="46" t="s">
        <v>509</v>
      </c>
      <c r="G479" s="25">
        <f t="shared" si="11"/>
        <v>5.7494350991713628E-3</v>
      </c>
    </row>
    <row r="480" spans="1:7">
      <c r="A480" s="46">
        <v>397.9</v>
      </c>
      <c r="B480" s="46">
        <v>399.67</v>
      </c>
      <c r="C480" s="46">
        <v>382.32010000000002</v>
      </c>
      <c r="D480" s="46">
        <v>383.48</v>
      </c>
      <c r="E480" s="46">
        <v>2194148</v>
      </c>
      <c r="F480" s="46" t="s">
        <v>510</v>
      </c>
      <c r="G480" s="25">
        <f t="shared" si="11"/>
        <v>3.760300406800865E-2</v>
      </c>
    </row>
    <row r="481" spans="1:7">
      <c r="A481" s="46">
        <v>385.6</v>
      </c>
      <c r="B481" s="46">
        <v>389.26</v>
      </c>
      <c r="C481" s="46">
        <v>383.93</v>
      </c>
      <c r="D481" s="46">
        <v>384.41</v>
      </c>
      <c r="E481" s="46">
        <v>2134795</v>
      </c>
      <c r="F481" s="46" t="s">
        <v>511</v>
      </c>
      <c r="G481" s="25">
        <f t="shared" ref="G481:G544" si="12">A481/D481-1</f>
        <v>3.0956530787440428E-3</v>
      </c>
    </row>
    <row r="482" spans="1:7">
      <c r="A482" s="46">
        <v>386.59</v>
      </c>
      <c r="B482" s="46">
        <v>386.74549999999999</v>
      </c>
      <c r="C482" s="46">
        <v>383.56</v>
      </c>
      <c r="D482" s="46">
        <v>384.6</v>
      </c>
      <c r="E482" s="46">
        <v>902880</v>
      </c>
      <c r="F482" s="46" t="s">
        <v>512</v>
      </c>
      <c r="G482" s="25">
        <f t="shared" si="12"/>
        <v>5.1742069682785274E-3</v>
      </c>
    </row>
    <row r="483" spans="1:7">
      <c r="A483" s="46">
        <v>386.46</v>
      </c>
      <c r="B483" s="46">
        <v>389.4701</v>
      </c>
      <c r="C483" s="46">
        <v>385.27499999999998</v>
      </c>
      <c r="D483" s="46">
        <v>386.46</v>
      </c>
      <c r="E483" s="46">
        <v>1042975</v>
      </c>
      <c r="F483" s="46" t="s">
        <v>513</v>
      </c>
      <c r="G483" s="25">
        <f t="shared" si="12"/>
        <v>0</v>
      </c>
    </row>
    <row r="484" spans="1:7">
      <c r="A484" s="46">
        <v>388.27</v>
      </c>
      <c r="B484" s="46">
        <v>391.81</v>
      </c>
      <c r="C484" s="46">
        <v>386.15</v>
      </c>
      <c r="D484" s="46">
        <v>389.4</v>
      </c>
      <c r="E484" s="46">
        <v>1024539</v>
      </c>
      <c r="F484" s="46" t="s">
        <v>514</v>
      </c>
      <c r="G484" s="25">
        <f t="shared" si="12"/>
        <v>-2.9019003595274206E-3</v>
      </c>
    </row>
    <row r="485" spans="1:7">
      <c r="A485" s="46">
        <v>389.77</v>
      </c>
      <c r="B485" s="46">
        <v>391.25</v>
      </c>
      <c r="C485" s="46">
        <v>387.28</v>
      </c>
      <c r="D485" s="46">
        <v>389.08</v>
      </c>
      <c r="E485" s="46">
        <v>1000527</v>
      </c>
      <c r="F485" s="46" t="s">
        <v>515</v>
      </c>
      <c r="G485" s="25">
        <f t="shared" si="12"/>
        <v>1.7734142078749127E-3</v>
      </c>
    </row>
    <row r="486" spans="1:7">
      <c r="A486" s="46">
        <v>389.08</v>
      </c>
      <c r="B486" s="46">
        <v>389.68</v>
      </c>
      <c r="C486" s="46">
        <v>382.21</v>
      </c>
      <c r="D486" s="46">
        <v>382.43</v>
      </c>
      <c r="E486" s="46">
        <v>1540785</v>
      </c>
      <c r="F486" s="46" t="s">
        <v>516</v>
      </c>
      <c r="G486" s="25">
        <f t="shared" si="12"/>
        <v>1.7388803179666734E-2</v>
      </c>
    </row>
    <row r="487" spans="1:7">
      <c r="A487" s="46">
        <v>380.23</v>
      </c>
      <c r="B487" s="46">
        <v>380.47</v>
      </c>
      <c r="C487" s="46">
        <v>373.15</v>
      </c>
      <c r="D487" s="46">
        <v>376.75</v>
      </c>
      <c r="E487" s="46">
        <v>1216678</v>
      </c>
      <c r="F487" s="46" t="s">
        <v>517</v>
      </c>
      <c r="G487" s="25">
        <f t="shared" si="12"/>
        <v>9.2368944923690854E-3</v>
      </c>
    </row>
    <row r="488" spans="1:7">
      <c r="A488" s="46">
        <v>377.64</v>
      </c>
      <c r="B488" s="46">
        <v>382.88</v>
      </c>
      <c r="C488" s="46">
        <v>374.61</v>
      </c>
      <c r="D488" s="46">
        <v>379.69</v>
      </c>
      <c r="E488" s="46">
        <v>1445682</v>
      </c>
      <c r="F488" s="46" t="s">
        <v>518</v>
      </c>
      <c r="G488" s="25">
        <f t="shared" si="12"/>
        <v>-5.3991414048303321E-3</v>
      </c>
    </row>
    <row r="489" spans="1:7">
      <c r="A489" s="46">
        <v>378.63</v>
      </c>
      <c r="B489" s="46">
        <v>381.15</v>
      </c>
      <c r="C489" s="46">
        <v>376</v>
      </c>
      <c r="D489" s="46">
        <v>378.29</v>
      </c>
      <c r="E489" s="46">
        <v>1272001</v>
      </c>
      <c r="F489" s="46" t="s">
        <v>519</v>
      </c>
      <c r="G489" s="25">
        <f t="shared" si="12"/>
        <v>8.9878135821708227E-4</v>
      </c>
    </row>
    <row r="490" spans="1:7">
      <c r="A490" s="46">
        <v>380.17</v>
      </c>
      <c r="B490" s="46">
        <v>383</v>
      </c>
      <c r="C490" s="46">
        <v>377.54</v>
      </c>
      <c r="D490" s="46">
        <v>382.03</v>
      </c>
      <c r="E490" s="46">
        <v>1053098</v>
      </c>
      <c r="F490" s="46" t="s">
        <v>520</v>
      </c>
      <c r="G490" s="25">
        <f t="shared" si="12"/>
        <v>-4.8687275868386504E-3</v>
      </c>
    </row>
    <row r="491" spans="1:7">
      <c r="A491" s="46">
        <v>381.76</v>
      </c>
      <c r="B491" s="46">
        <v>381.91</v>
      </c>
      <c r="C491" s="46">
        <v>378</v>
      </c>
      <c r="D491" s="46">
        <v>380.09</v>
      </c>
      <c r="E491" s="46">
        <v>1147614</v>
      </c>
      <c r="F491" s="46" t="s">
        <v>521</v>
      </c>
      <c r="G491" s="25">
        <f t="shared" si="12"/>
        <v>4.3936962298403159E-3</v>
      </c>
    </row>
    <row r="492" spans="1:7">
      <c r="A492" s="46">
        <v>378.89</v>
      </c>
      <c r="B492" s="46">
        <v>383.245</v>
      </c>
      <c r="C492" s="46">
        <v>371</v>
      </c>
      <c r="D492" s="46">
        <v>375</v>
      </c>
      <c r="E492" s="46">
        <v>1705296</v>
      </c>
      <c r="F492" s="46" t="s">
        <v>522</v>
      </c>
      <c r="G492" s="25">
        <f t="shared" si="12"/>
        <v>1.0373333333333346E-2</v>
      </c>
    </row>
    <row r="493" spans="1:7">
      <c r="A493" s="46">
        <v>382.13</v>
      </c>
      <c r="B493" s="46">
        <v>387.36</v>
      </c>
      <c r="C493" s="46">
        <v>381.07010000000002</v>
      </c>
      <c r="D493" s="46">
        <v>386.09</v>
      </c>
      <c r="E493" s="46">
        <v>1569858</v>
      </c>
      <c r="F493" s="46" t="s">
        <v>523</v>
      </c>
      <c r="G493" s="25">
        <f t="shared" si="12"/>
        <v>-1.0256675904581791E-2</v>
      </c>
    </row>
    <row r="494" spans="1:7">
      <c r="A494" s="46">
        <v>388.22</v>
      </c>
      <c r="B494" s="46">
        <v>389.92</v>
      </c>
      <c r="C494" s="46">
        <v>383.05</v>
      </c>
      <c r="D494" s="46">
        <v>387.46</v>
      </c>
      <c r="E494" s="46">
        <v>1234101</v>
      </c>
      <c r="F494" s="46" t="s">
        <v>524</v>
      </c>
      <c r="G494" s="25">
        <f t="shared" si="12"/>
        <v>1.9614927992568365E-3</v>
      </c>
    </row>
    <row r="495" spans="1:7">
      <c r="A495" s="46">
        <v>386.94</v>
      </c>
      <c r="B495" s="46">
        <v>391.6</v>
      </c>
      <c r="C495" s="46">
        <v>385.36</v>
      </c>
      <c r="D495" s="46">
        <v>389.51</v>
      </c>
      <c r="E495" s="46">
        <v>998655</v>
      </c>
      <c r="F495" s="46" t="s">
        <v>525</v>
      </c>
      <c r="G495" s="25">
        <f t="shared" si="12"/>
        <v>-6.5980334266129148E-3</v>
      </c>
    </row>
    <row r="496" spans="1:7">
      <c r="A496" s="46">
        <v>391.375</v>
      </c>
      <c r="B496" s="46">
        <v>392</v>
      </c>
      <c r="C496" s="46">
        <v>385.72</v>
      </c>
      <c r="D496" s="46">
        <v>390.38</v>
      </c>
      <c r="E496" s="46">
        <v>1458965</v>
      </c>
      <c r="F496" s="46" t="s">
        <v>526</v>
      </c>
      <c r="G496" s="25">
        <f t="shared" si="12"/>
        <v>2.5487986064860468E-3</v>
      </c>
    </row>
    <row r="497" spans="1:7">
      <c r="A497" s="46">
        <v>389.69</v>
      </c>
      <c r="B497" s="46">
        <v>389.79</v>
      </c>
      <c r="C497" s="46">
        <v>384.12</v>
      </c>
      <c r="D497" s="46">
        <v>385.26</v>
      </c>
      <c r="E497" s="46">
        <v>1694266</v>
      </c>
      <c r="F497" s="46" t="s">
        <v>527</v>
      </c>
      <c r="G497" s="25">
        <f t="shared" si="12"/>
        <v>1.1498728131651426E-2</v>
      </c>
    </row>
    <row r="498" spans="1:7">
      <c r="A498" s="46">
        <v>383.94</v>
      </c>
      <c r="B498" s="46">
        <v>388.61989999999997</v>
      </c>
      <c r="C498" s="46">
        <v>380.57</v>
      </c>
      <c r="D498" s="46">
        <v>384.47</v>
      </c>
      <c r="E498" s="46">
        <v>1575287</v>
      </c>
      <c r="F498" s="46" t="s">
        <v>528</v>
      </c>
      <c r="G498" s="25">
        <f t="shared" si="12"/>
        <v>-1.3785210809686976E-3</v>
      </c>
    </row>
    <row r="499" spans="1:7">
      <c r="A499" s="46">
        <v>383.77</v>
      </c>
      <c r="B499" s="46">
        <v>385.43</v>
      </c>
      <c r="C499" s="46">
        <v>377.9</v>
      </c>
      <c r="D499" s="46">
        <v>382.33</v>
      </c>
      <c r="E499" s="46">
        <v>1773557</v>
      </c>
      <c r="F499" s="46" t="s">
        <v>529</v>
      </c>
      <c r="G499" s="25">
        <f t="shared" si="12"/>
        <v>3.7663798289435668E-3</v>
      </c>
    </row>
    <row r="500" spans="1:7">
      <c r="A500" s="46">
        <v>383.83</v>
      </c>
      <c r="B500" s="46">
        <v>384.29</v>
      </c>
      <c r="C500" s="46">
        <v>375.67</v>
      </c>
      <c r="D500" s="46">
        <v>378.41</v>
      </c>
      <c r="E500" s="46">
        <v>1630137</v>
      </c>
      <c r="F500" s="46" t="s">
        <v>530</v>
      </c>
      <c r="G500" s="25">
        <f t="shared" si="12"/>
        <v>1.4323088713300347E-2</v>
      </c>
    </row>
    <row r="501" spans="1:7">
      <c r="A501" s="46">
        <v>378.22</v>
      </c>
      <c r="B501" s="46">
        <v>383.74</v>
      </c>
      <c r="C501" s="46">
        <v>375.59500000000003</v>
      </c>
      <c r="D501" s="46">
        <v>378.5</v>
      </c>
      <c r="E501" s="46">
        <v>1802098</v>
      </c>
      <c r="F501" s="46" t="s">
        <v>531</v>
      </c>
      <c r="G501" s="25">
        <f t="shared" si="12"/>
        <v>-7.3976221928662156E-4</v>
      </c>
    </row>
    <row r="502" spans="1:7">
      <c r="A502" s="46">
        <v>377.29</v>
      </c>
      <c r="B502" s="46">
        <v>381.79</v>
      </c>
      <c r="C502" s="46">
        <v>376.42</v>
      </c>
      <c r="D502" s="46">
        <v>377.37</v>
      </c>
      <c r="E502" s="46">
        <v>1375320</v>
      </c>
      <c r="F502" s="46" t="s">
        <v>532</v>
      </c>
      <c r="G502" s="25">
        <f t="shared" si="12"/>
        <v>-2.119935341972079E-4</v>
      </c>
    </row>
    <row r="503" spans="1:7">
      <c r="A503" s="46">
        <v>379.16</v>
      </c>
      <c r="B503" s="46">
        <v>379.34</v>
      </c>
      <c r="C503" s="46">
        <v>373.06</v>
      </c>
      <c r="D503" s="46">
        <v>374.41</v>
      </c>
      <c r="E503" s="46">
        <v>1602969</v>
      </c>
      <c r="F503" s="46" t="s">
        <v>533</v>
      </c>
      <c r="G503" s="25">
        <f t="shared" si="12"/>
        <v>1.2686626959750091E-2</v>
      </c>
    </row>
    <row r="504" spans="1:7">
      <c r="A504" s="46">
        <v>374.76</v>
      </c>
      <c r="B504" s="46">
        <v>375.06</v>
      </c>
      <c r="C504" s="46">
        <v>368.01010000000002</v>
      </c>
      <c r="D504" s="46">
        <v>371.6</v>
      </c>
      <c r="E504" s="46">
        <v>2144764</v>
      </c>
      <c r="F504" s="46" t="s">
        <v>534</v>
      </c>
      <c r="G504" s="25">
        <f t="shared" si="12"/>
        <v>8.503767491926606E-3</v>
      </c>
    </row>
    <row r="505" spans="1:7">
      <c r="A505" s="46">
        <v>374.97</v>
      </c>
      <c r="B505" s="46">
        <v>377.32499999999999</v>
      </c>
      <c r="C505" s="46">
        <v>370.6</v>
      </c>
      <c r="D505" s="46">
        <v>372.61</v>
      </c>
      <c r="E505" s="46">
        <v>1873334</v>
      </c>
      <c r="F505" s="46" t="s">
        <v>535</v>
      </c>
      <c r="G505" s="25">
        <f t="shared" si="12"/>
        <v>6.333700115402241E-3</v>
      </c>
    </row>
    <row r="506" spans="1:7">
      <c r="A506" s="46">
        <v>370.07</v>
      </c>
      <c r="B506" s="46">
        <v>384</v>
      </c>
      <c r="C506" s="46">
        <v>362.14</v>
      </c>
      <c r="D506" s="46">
        <v>383.93</v>
      </c>
      <c r="E506" s="46">
        <v>4949678</v>
      </c>
      <c r="F506" s="46" t="s">
        <v>536</v>
      </c>
      <c r="G506" s="25">
        <f t="shared" si="12"/>
        <v>-3.6100330789466839E-2</v>
      </c>
    </row>
    <row r="507" spans="1:7">
      <c r="A507" s="46">
        <v>371.41</v>
      </c>
      <c r="B507" s="46">
        <v>377.80250000000001</v>
      </c>
      <c r="C507" s="46">
        <v>367.5</v>
      </c>
      <c r="D507" s="46">
        <v>377.25</v>
      </c>
      <c r="E507" s="46">
        <v>2393791</v>
      </c>
      <c r="F507" s="46" t="s">
        <v>537</v>
      </c>
      <c r="G507" s="25">
        <f t="shared" si="12"/>
        <v>-1.5480450629555942E-2</v>
      </c>
    </row>
    <row r="508" spans="1:7">
      <c r="A508" s="46">
        <v>375.81</v>
      </c>
      <c r="B508" s="46">
        <v>379.39</v>
      </c>
      <c r="C508" s="46">
        <v>375.07</v>
      </c>
      <c r="D508" s="46">
        <v>377.91</v>
      </c>
      <c r="E508" s="46">
        <v>1813143</v>
      </c>
      <c r="F508" s="46" t="s">
        <v>538</v>
      </c>
      <c r="G508" s="25">
        <f t="shared" si="12"/>
        <v>-5.5568786218941346E-3</v>
      </c>
    </row>
    <row r="509" spans="1:7">
      <c r="A509" s="46">
        <v>374.82</v>
      </c>
      <c r="B509" s="46">
        <v>376.9</v>
      </c>
      <c r="C509" s="46">
        <v>370.65499999999997</v>
      </c>
      <c r="D509" s="46">
        <v>374</v>
      </c>
      <c r="E509" s="46">
        <v>2392529</v>
      </c>
      <c r="F509" s="46" t="s">
        <v>539</v>
      </c>
      <c r="G509" s="25">
        <f t="shared" si="12"/>
        <v>2.1925133689839615E-3</v>
      </c>
    </row>
    <row r="510" spans="1:7">
      <c r="A510" s="46">
        <v>371.93</v>
      </c>
      <c r="B510" s="46">
        <v>374.18</v>
      </c>
      <c r="C510" s="46">
        <v>366.79109999999997</v>
      </c>
      <c r="D510" s="46">
        <v>369.88</v>
      </c>
      <c r="E510" s="46">
        <v>2533109</v>
      </c>
      <c r="F510" s="46" t="s">
        <v>540</v>
      </c>
      <c r="G510" s="25">
        <f t="shared" si="12"/>
        <v>5.5423380555856827E-3</v>
      </c>
    </row>
    <row r="511" spans="1:7">
      <c r="A511" s="46">
        <v>358.88</v>
      </c>
      <c r="B511" s="46">
        <v>361.23</v>
      </c>
      <c r="C511" s="46">
        <v>355.17</v>
      </c>
      <c r="D511" s="46">
        <v>358.4</v>
      </c>
      <c r="E511" s="46">
        <v>1246107</v>
      </c>
      <c r="F511" s="46" t="s">
        <v>541</v>
      </c>
      <c r="G511" s="25">
        <f t="shared" si="12"/>
        <v>1.339285714285765E-3</v>
      </c>
    </row>
    <row r="512" spans="1:7">
      <c r="A512" s="46">
        <v>362.33</v>
      </c>
      <c r="B512" s="46">
        <v>364.48</v>
      </c>
      <c r="C512" s="46">
        <v>359.39499999999998</v>
      </c>
      <c r="D512" s="46">
        <v>363.39</v>
      </c>
      <c r="E512" s="46">
        <v>1494965</v>
      </c>
      <c r="F512" s="46" t="s">
        <v>542</v>
      </c>
      <c r="G512" s="25">
        <f t="shared" si="12"/>
        <v>-2.916976251410297E-3</v>
      </c>
    </row>
    <row r="513" spans="1:7">
      <c r="A513" s="46">
        <v>363.71</v>
      </c>
      <c r="B513" s="46">
        <v>366.86</v>
      </c>
      <c r="C513" s="46">
        <v>360.96</v>
      </c>
      <c r="D513" s="46">
        <v>365</v>
      </c>
      <c r="E513" s="46">
        <v>1456460</v>
      </c>
      <c r="F513" s="46" t="s">
        <v>543</v>
      </c>
      <c r="G513" s="25">
        <f t="shared" si="12"/>
        <v>-3.5342465753425145E-3</v>
      </c>
    </row>
    <row r="514" spans="1:7">
      <c r="A514" s="46">
        <v>362.31</v>
      </c>
      <c r="B514" s="46">
        <v>366.80040000000002</v>
      </c>
      <c r="C514" s="46">
        <v>357.63</v>
      </c>
      <c r="D514" s="46">
        <v>364.45</v>
      </c>
      <c r="E514" s="46">
        <v>2230616</v>
      </c>
      <c r="F514" s="46" t="s">
        <v>544</v>
      </c>
      <c r="G514" s="25">
        <f t="shared" si="12"/>
        <v>-5.871861709425108E-3</v>
      </c>
    </row>
    <row r="515" spans="1:7">
      <c r="A515" s="46">
        <v>364.45</v>
      </c>
      <c r="B515" s="46">
        <v>364.87</v>
      </c>
      <c r="C515" s="46">
        <v>345.53</v>
      </c>
      <c r="D515" s="46">
        <v>348</v>
      </c>
      <c r="E515" s="46">
        <v>4868411</v>
      </c>
      <c r="F515" s="46" t="s">
        <v>545</v>
      </c>
      <c r="G515" s="25">
        <f t="shared" si="12"/>
        <v>4.7270114942528751E-2</v>
      </c>
    </row>
    <row r="516" spans="1:7">
      <c r="A516" s="46">
        <v>330.56</v>
      </c>
      <c r="B516" s="46">
        <v>332.8</v>
      </c>
      <c r="C516" s="46">
        <v>325.76499999999999</v>
      </c>
      <c r="D516" s="46">
        <v>326.02999999999997</v>
      </c>
      <c r="E516" s="46">
        <v>1421605</v>
      </c>
      <c r="F516" s="46" t="s">
        <v>546</v>
      </c>
      <c r="G516" s="25">
        <f t="shared" si="12"/>
        <v>1.3894426893230838E-2</v>
      </c>
    </row>
    <row r="517" spans="1:7">
      <c r="A517" s="46">
        <v>328.86</v>
      </c>
      <c r="B517" s="46">
        <v>329.53</v>
      </c>
      <c r="C517" s="46">
        <v>324.12</v>
      </c>
      <c r="D517" s="46">
        <v>324.5</v>
      </c>
      <c r="E517" s="46">
        <v>1463337</v>
      </c>
      <c r="F517" s="46" t="s">
        <v>547</v>
      </c>
      <c r="G517" s="25">
        <f t="shared" si="12"/>
        <v>1.3436055469953745E-2</v>
      </c>
    </row>
    <row r="518" spans="1:7">
      <c r="A518" s="46">
        <v>322.5</v>
      </c>
      <c r="B518" s="46">
        <v>327.51850000000002</v>
      </c>
      <c r="C518" s="46">
        <v>321.31</v>
      </c>
      <c r="D518" s="46">
        <v>322.55</v>
      </c>
      <c r="E518" s="46">
        <v>1042127</v>
      </c>
      <c r="F518" s="46" t="s">
        <v>548</v>
      </c>
      <c r="G518" s="25">
        <f t="shared" si="12"/>
        <v>-1.5501472639900538E-4</v>
      </c>
    </row>
    <row r="519" spans="1:7">
      <c r="A519" s="46">
        <v>323.27</v>
      </c>
      <c r="B519" s="46">
        <v>326.40710000000001</v>
      </c>
      <c r="C519" s="46">
        <v>320.26</v>
      </c>
      <c r="D519" s="46">
        <v>320.43</v>
      </c>
      <c r="E519" s="46">
        <v>1471767</v>
      </c>
      <c r="F519" s="46" t="s">
        <v>549</v>
      </c>
      <c r="G519" s="25">
        <f t="shared" si="12"/>
        <v>8.8630902225135255E-3</v>
      </c>
    </row>
    <row r="520" spans="1:7">
      <c r="A520" s="46">
        <v>322.13</v>
      </c>
      <c r="B520" s="46">
        <v>328.1</v>
      </c>
      <c r="C520" s="46">
        <v>320.68</v>
      </c>
      <c r="D520" s="46">
        <v>328.1</v>
      </c>
      <c r="E520" s="46">
        <v>1596584</v>
      </c>
      <c r="F520" s="46" t="s">
        <v>550</v>
      </c>
      <c r="G520" s="25">
        <f t="shared" si="12"/>
        <v>-1.8195672051203982E-2</v>
      </c>
    </row>
    <row r="521" spans="1:7">
      <c r="A521" s="46">
        <v>330.98</v>
      </c>
      <c r="B521" s="46">
        <v>336.2</v>
      </c>
      <c r="C521" s="46">
        <v>328.38</v>
      </c>
      <c r="D521" s="46">
        <v>333</v>
      </c>
      <c r="E521" s="46">
        <v>1379307</v>
      </c>
      <c r="F521" s="46" t="s">
        <v>551</v>
      </c>
      <c r="G521" s="25">
        <f t="shared" si="12"/>
        <v>-6.0660660660659671E-3</v>
      </c>
    </row>
    <row r="522" spans="1:7">
      <c r="A522" s="46">
        <v>337.36</v>
      </c>
      <c r="B522" s="46">
        <v>339.26</v>
      </c>
      <c r="C522" s="46">
        <v>336.62</v>
      </c>
      <c r="D522" s="46">
        <v>337.83</v>
      </c>
      <c r="E522" s="46">
        <v>1303314</v>
      </c>
      <c r="F522" s="46" t="s">
        <v>552</v>
      </c>
      <c r="G522" s="25">
        <f t="shared" si="12"/>
        <v>-1.3912322765887719E-3</v>
      </c>
    </row>
    <row r="523" spans="1:7">
      <c r="A523" s="46">
        <v>338.39</v>
      </c>
      <c r="B523" s="46">
        <v>340.48989999999998</v>
      </c>
      <c r="C523" s="46">
        <v>336.34</v>
      </c>
      <c r="D523" s="46">
        <v>337.01</v>
      </c>
      <c r="E523" s="46">
        <v>740722</v>
      </c>
      <c r="F523" s="46" t="s">
        <v>553</v>
      </c>
      <c r="G523" s="25">
        <f t="shared" si="12"/>
        <v>4.0948339811874845E-3</v>
      </c>
    </row>
    <row r="524" spans="1:7">
      <c r="A524" s="46">
        <v>337.47</v>
      </c>
      <c r="B524" s="46">
        <v>337.67</v>
      </c>
      <c r="C524" s="46">
        <v>335.065</v>
      </c>
      <c r="D524" s="46">
        <v>337</v>
      </c>
      <c r="E524" s="46">
        <v>750000</v>
      </c>
      <c r="F524" s="46" t="s">
        <v>554</v>
      </c>
      <c r="G524" s="25">
        <f t="shared" si="12"/>
        <v>1.3946587537092547E-3</v>
      </c>
    </row>
    <row r="525" spans="1:7">
      <c r="A525" s="46">
        <v>337.39</v>
      </c>
      <c r="B525" s="46">
        <v>338.34500000000003</v>
      </c>
      <c r="C525" s="46">
        <v>335.21</v>
      </c>
      <c r="D525" s="46">
        <v>336.92</v>
      </c>
      <c r="E525" s="46">
        <v>736795</v>
      </c>
      <c r="F525" s="46" t="s">
        <v>555</v>
      </c>
      <c r="G525" s="25">
        <f t="shared" si="12"/>
        <v>1.3949899085834438E-3</v>
      </c>
    </row>
    <row r="526" spans="1:7">
      <c r="A526" s="46">
        <v>336.26</v>
      </c>
      <c r="B526" s="46">
        <v>337.06</v>
      </c>
      <c r="C526" s="46">
        <v>333.46</v>
      </c>
      <c r="D526" s="46">
        <v>334.52</v>
      </c>
      <c r="E526" s="46">
        <v>1025099</v>
      </c>
      <c r="F526" s="46" t="s">
        <v>556</v>
      </c>
      <c r="G526" s="25">
        <f t="shared" si="12"/>
        <v>5.2014827215114412E-3</v>
      </c>
    </row>
    <row r="527" spans="1:7">
      <c r="A527" s="46">
        <v>333.45</v>
      </c>
      <c r="B527" s="46">
        <v>333.98</v>
      </c>
      <c r="C527" s="46">
        <v>327.52999999999997</v>
      </c>
      <c r="D527" s="46">
        <v>328.97</v>
      </c>
      <c r="E527" s="46">
        <v>1969692</v>
      </c>
      <c r="F527" s="46" t="s">
        <v>557</v>
      </c>
      <c r="G527" s="25">
        <f t="shared" si="12"/>
        <v>1.3618263063501113E-2</v>
      </c>
    </row>
    <row r="528" spans="1:7">
      <c r="A528" s="46">
        <v>325.43</v>
      </c>
      <c r="B528" s="46">
        <v>334.05</v>
      </c>
      <c r="C528" s="46">
        <v>325.26</v>
      </c>
      <c r="D528" s="46">
        <v>334.05</v>
      </c>
      <c r="E528" s="46">
        <v>1845639</v>
      </c>
      <c r="F528" s="46" t="s">
        <v>558</v>
      </c>
      <c r="G528" s="25">
        <f t="shared" si="12"/>
        <v>-2.5804520281395016E-2</v>
      </c>
    </row>
    <row r="529" spans="1:7">
      <c r="A529" s="46">
        <v>335.72</v>
      </c>
      <c r="B529" s="46">
        <v>336.58</v>
      </c>
      <c r="C529" s="46">
        <v>328</v>
      </c>
      <c r="D529" s="46">
        <v>328.42</v>
      </c>
      <c r="E529" s="46">
        <v>2276743</v>
      </c>
      <c r="F529" s="46" t="s">
        <v>559</v>
      </c>
      <c r="G529" s="25">
        <f t="shared" si="12"/>
        <v>2.2227635344985064E-2</v>
      </c>
    </row>
    <row r="530" spans="1:7">
      <c r="A530" s="46">
        <v>328.42</v>
      </c>
      <c r="B530" s="46">
        <v>331.99</v>
      </c>
      <c r="C530" s="46">
        <v>325.01</v>
      </c>
      <c r="D530" s="46">
        <v>325.73</v>
      </c>
      <c r="E530" s="46">
        <v>1937882</v>
      </c>
      <c r="F530" s="46" t="s">
        <v>560</v>
      </c>
      <c r="G530" s="25">
        <f t="shared" si="12"/>
        <v>8.2583734995240743E-3</v>
      </c>
    </row>
    <row r="531" spans="1:7">
      <c r="A531" s="46">
        <v>324.35000000000002</v>
      </c>
      <c r="B531" s="46">
        <v>327</v>
      </c>
      <c r="C531" s="46">
        <v>322.58999999999997</v>
      </c>
      <c r="D531" s="46">
        <v>325.83</v>
      </c>
      <c r="E531" s="46">
        <v>3637298</v>
      </c>
      <c r="F531" s="46" t="s">
        <v>561</v>
      </c>
      <c r="G531" s="25">
        <f t="shared" si="12"/>
        <v>-4.5422459564802287E-3</v>
      </c>
    </row>
    <row r="532" spans="1:7">
      <c r="A532" s="46">
        <v>326.18</v>
      </c>
      <c r="B532" s="46">
        <v>332.61</v>
      </c>
      <c r="C532" s="46">
        <v>324.83</v>
      </c>
      <c r="D532" s="46">
        <v>330</v>
      </c>
      <c r="E532" s="46">
        <v>2068912</v>
      </c>
      <c r="F532" s="46" t="s">
        <v>562</v>
      </c>
      <c r="G532" s="25">
        <f t="shared" si="12"/>
        <v>-1.1575757575757573E-2</v>
      </c>
    </row>
    <row r="533" spans="1:7">
      <c r="A533" s="46">
        <v>328.96</v>
      </c>
      <c r="B533" s="46">
        <v>329.45</v>
      </c>
      <c r="C533" s="46">
        <v>320.22000000000003</v>
      </c>
      <c r="D533" s="46">
        <v>320.68</v>
      </c>
      <c r="E533" s="46">
        <v>1446993</v>
      </c>
      <c r="F533" s="46" t="s">
        <v>563</v>
      </c>
      <c r="G533" s="25">
        <f t="shared" si="12"/>
        <v>2.5820132219034564E-2</v>
      </c>
    </row>
    <row r="534" spans="1:7">
      <c r="A534" s="46">
        <v>320.70999999999998</v>
      </c>
      <c r="B534" s="46">
        <v>321.36</v>
      </c>
      <c r="C534" s="46">
        <v>314.38</v>
      </c>
      <c r="D534" s="46">
        <v>316.96499999999997</v>
      </c>
      <c r="E534" s="46">
        <v>1371293</v>
      </c>
      <c r="F534" s="46" t="s">
        <v>564</v>
      </c>
      <c r="G534" s="25">
        <f t="shared" si="12"/>
        <v>1.1815184641837506E-2</v>
      </c>
    </row>
    <row r="535" spans="1:7">
      <c r="A535" s="46">
        <v>315.43</v>
      </c>
      <c r="B535" s="46">
        <v>319.8</v>
      </c>
      <c r="C535" s="46">
        <v>309.8</v>
      </c>
      <c r="D535" s="46">
        <v>310</v>
      </c>
      <c r="E535" s="46">
        <v>1731147</v>
      </c>
      <c r="F535" s="46" t="s">
        <v>565</v>
      </c>
      <c r="G535" s="25">
        <f t="shared" si="12"/>
        <v>1.7516129032258076E-2</v>
      </c>
    </row>
    <row r="536" spans="1:7">
      <c r="A536" s="46">
        <v>310.42</v>
      </c>
      <c r="B536" s="46">
        <v>312.88</v>
      </c>
      <c r="C536" s="46">
        <v>308.58</v>
      </c>
      <c r="D536" s="46">
        <v>310.52</v>
      </c>
      <c r="E536" s="46">
        <v>1222954</v>
      </c>
      <c r="F536" s="46" t="s">
        <v>566</v>
      </c>
      <c r="G536" s="25">
        <f t="shared" si="12"/>
        <v>-3.2204044828021416E-4</v>
      </c>
    </row>
    <row r="537" spans="1:7">
      <c r="A537" s="46">
        <v>311.56</v>
      </c>
      <c r="B537" s="46">
        <v>312.745</v>
      </c>
      <c r="C537" s="46">
        <v>307.72000000000003</v>
      </c>
      <c r="D537" s="46">
        <v>310.97000000000003</v>
      </c>
      <c r="E537" s="46">
        <v>1313392</v>
      </c>
      <c r="F537" s="46" t="s">
        <v>567</v>
      </c>
      <c r="G537" s="25">
        <f t="shared" si="12"/>
        <v>1.897289127568591E-3</v>
      </c>
    </row>
    <row r="538" spans="1:7">
      <c r="A538" s="46">
        <v>310.26</v>
      </c>
      <c r="B538" s="46">
        <v>313.60000000000002</v>
      </c>
      <c r="C538" s="46">
        <v>308.61009999999999</v>
      </c>
      <c r="D538" s="46">
        <v>311.39</v>
      </c>
      <c r="E538" s="46">
        <v>1182695</v>
      </c>
      <c r="F538" s="46" t="s">
        <v>568</v>
      </c>
      <c r="G538" s="25">
        <f t="shared" si="12"/>
        <v>-3.6288898166286776E-3</v>
      </c>
    </row>
    <row r="539" spans="1:7">
      <c r="A539" s="46">
        <v>309.52</v>
      </c>
      <c r="B539" s="46">
        <v>312</v>
      </c>
      <c r="C539" s="46">
        <v>304.5</v>
      </c>
      <c r="D539" s="46">
        <v>312</v>
      </c>
      <c r="E539" s="46">
        <v>1246409</v>
      </c>
      <c r="F539" s="46" t="s">
        <v>569</v>
      </c>
      <c r="G539" s="25">
        <f t="shared" si="12"/>
        <v>-7.9487179487179871E-3</v>
      </c>
    </row>
    <row r="540" spans="1:7">
      <c r="A540" s="46">
        <v>311.83999999999997</v>
      </c>
      <c r="B540" s="46">
        <v>315.93</v>
      </c>
      <c r="C540" s="46">
        <v>308.91000000000003</v>
      </c>
      <c r="D540" s="46">
        <v>311.92</v>
      </c>
      <c r="E540" s="46">
        <v>1431186</v>
      </c>
      <c r="F540" s="46" t="s">
        <v>570</v>
      </c>
      <c r="G540" s="25">
        <f t="shared" si="12"/>
        <v>-2.5647601949230214E-4</v>
      </c>
    </row>
    <row r="541" spans="1:7">
      <c r="A541" s="46">
        <v>315.2</v>
      </c>
      <c r="B541" s="46">
        <v>315.64</v>
      </c>
      <c r="C541" s="46">
        <v>308.73</v>
      </c>
      <c r="D541" s="46">
        <v>310.58999999999997</v>
      </c>
      <c r="E541" s="46">
        <v>1388826</v>
      </c>
      <c r="F541" s="46" t="s">
        <v>571</v>
      </c>
      <c r="G541" s="25">
        <f t="shared" si="12"/>
        <v>1.4842718696674195E-2</v>
      </c>
    </row>
    <row r="542" spans="1:7">
      <c r="A542" s="46">
        <v>310.83999999999997</v>
      </c>
      <c r="B542" s="46">
        <v>311.99</v>
      </c>
      <c r="C542" s="46">
        <v>304.7</v>
      </c>
      <c r="D542" s="46">
        <v>310.76</v>
      </c>
      <c r="E542" s="46">
        <v>2437496</v>
      </c>
      <c r="F542" s="46" t="s">
        <v>572</v>
      </c>
      <c r="G542" s="25">
        <f t="shared" si="12"/>
        <v>2.5743338911055069E-4</v>
      </c>
    </row>
    <row r="543" spans="1:7">
      <c r="A543" s="46">
        <v>310.76</v>
      </c>
      <c r="B543" s="46">
        <v>316.30500000000001</v>
      </c>
      <c r="C543" s="46">
        <v>309.96499999999997</v>
      </c>
      <c r="D543" s="46">
        <v>312</v>
      </c>
      <c r="E543" s="46">
        <v>1389053</v>
      </c>
      <c r="F543" s="46" t="s">
        <v>573</v>
      </c>
      <c r="G543" s="25">
        <f t="shared" si="12"/>
        <v>-3.9743589743590491E-3</v>
      </c>
    </row>
    <row r="544" spans="1:7">
      <c r="A544" s="46">
        <v>310.95</v>
      </c>
      <c r="B544" s="46">
        <v>312.76</v>
      </c>
      <c r="C544" s="46">
        <v>309.26</v>
      </c>
      <c r="D544" s="46">
        <v>311.83999999999997</v>
      </c>
      <c r="E544" s="46">
        <v>1558995</v>
      </c>
      <c r="F544" s="46" t="s">
        <v>574</v>
      </c>
      <c r="G544" s="25">
        <f t="shared" si="12"/>
        <v>-2.8540277065161046E-3</v>
      </c>
    </row>
    <row r="545" spans="1:7">
      <c r="A545" s="46">
        <v>314.98</v>
      </c>
      <c r="B545" s="46">
        <v>316</v>
      </c>
      <c r="C545" s="46">
        <v>312.02</v>
      </c>
      <c r="D545" s="46">
        <v>314.68</v>
      </c>
      <c r="E545" s="46">
        <v>1084261</v>
      </c>
      <c r="F545" s="46" t="s">
        <v>575</v>
      </c>
      <c r="G545" s="25">
        <f t="shared" ref="G545:G608" si="13">A545/D545-1</f>
        <v>9.5334943434610686E-4</v>
      </c>
    </row>
    <row r="546" spans="1:7">
      <c r="A546" s="46">
        <v>318.01</v>
      </c>
      <c r="B546" s="46">
        <v>318.26</v>
      </c>
      <c r="C546" s="46">
        <v>316</v>
      </c>
      <c r="D546" s="46">
        <v>316.95</v>
      </c>
      <c r="E546" s="46">
        <v>601268</v>
      </c>
      <c r="F546" s="46" t="s">
        <v>576</v>
      </c>
      <c r="G546" s="25">
        <f t="shared" si="13"/>
        <v>3.3443760845559556E-3</v>
      </c>
    </row>
    <row r="547" spans="1:7">
      <c r="A547" s="46">
        <v>315.8</v>
      </c>
      <c r="B547" s="46">
        <v>317.39</v>
      </c>
      <c r="C547" s="46">
        <v>313.92</v>
      </c>
      <c r="D547" s="46">
        <v>315</v>
      </c>
      <c r="E547" s="46">
        <v>1199862</v>
      </c>
      <c r="F547" s="46" t="s">
        <v>577</v>
      </c>
      <c r="G547" s="25">
        <f t="shared" si="13"/>
        <v>2.5396825396826195E-3</v>
      </c>
    </row>
    <row r="548" spans="1:7">
      <c r="A548" s="46">
        <v>311.82</v>
      </c>
      <c r="B548" s="46">
        <v>312.22000000000003</v>
      </c>
      <c r="C548" s="46">
        <v>308.85000000000002</v>
      </c>
      <c r="D548" s="46">
        <v>311</v>
      </c>
      <c r="E548" s="46">
        <v>1461585</v>
      </c>
      <c r="F548" s="46" t="s">
        <v>578</v>
      </c>
      <c r="G548" s="25">
        <f t="shared" si="13"/>
        <v>2.6366559485531127E-3</v>
      </c>
    </row>
    <row r="549" spans="1:7">
      <c r="A549" s="46">
        <v>311.33999999999997</v>
      </c>
      <c r="B549" s="46">
        <v>312.2</v>
      </c>
      <c r="C549" s="46">
        <v>305</v>
      </c>
      <c r="D549" s="46">
        <v>305.44</v>
      </c>
      <c r="E549" s="46">
        <v>1746309</v>
      </c>
      <c r="F549" s="46" t="s">
        <v>579</v>
      </c>
      <c r="G549" s="25">
        <f t="shared" si="13"/>
        <v>1.931639601885804E-2</v>
      </c>
    </row>
    <row r="550" spans="1:7">
      <c r="A550" s="46">
        <v>305.27999999999997</v>
      </c>
      <c r="B550" s="46">
        <v>311.23500000000001</v>
      </c>
      <c r="C550" s="46">
        <v>304.61500000000001</v>
      </c>
      <c r="D550" s="46">
        <v>306.33999999999997</v>
      </c>
      <c r="E550" s="46">
        <v>2993483</v>
      </c>
      <c r="F550" s="46" t="s">
        <v>580</v>
      </c>
      <c r="G550" s="25">
        <f t="shared" si="13"/>
        <v>-3.4602076124568004E-3</v>
      </c>
    </row>
    <row r="551" spans="1:7">
      <c r="A551" s="46">
        <v>303.95</v>
      </c>
      <c r="B551" s="46">
        <v>305.3</v>
      </c>
      <c r="C551" s="46">
        <v>295.02</v>
      </c>
      <c r="D551" s="46">
        <v>296.79000000000002</v>
      </c>
      <c r="E551" s="46">
        <v>2296070</v>
      </c>
      <c r="F551" s="46" t="s">
        <v>581</v>
      </c>
      <c r="G551" s="25">
        <f t="shared" si="13"/>
        <v>2.4124802048586469E-2</v>
      </c>
    </row>
    <row r="552" spans="1:7">
      <c r="A552" s="46">
        <v>293.22000000000003</v>
      </c>
      <c r="B552" s="46">
        <v>297.33999999999997</v>
      </c>
      <c r="C552" s="46">
        <v>291.39</v>
      </c>
      <c r="D552" s="46">
        <v>291.39</v>
      </c>
      <c r="E552" s="46">
        <v>1889778</v>
      </c>
      <c r="F552" s="46" t="s">
        <v>582</v>
      </c>
      <c r="G552" s="25">
        <f t="shared" si="13"/>
        <v>6.2802429733348486E-3</v>
      </c>
    </row>
    <row r="553" spans="1:7">
      <c r="A553" s="46">
        <v>291.62</v>
      </c>
      <c r="B553" s="46">
        <v>294.13499999999999</v>
      </c>
      <c r="C553" s="46">
        <v>287.98</v>
      </c>
      <c r="D553" s="46">
        <v>288.37</v>
      </c>
      <c r="E553" s="46">
        <v>1847810</v>
      </c>
      <c r="F553" s="46" t="s">
        <v>583</v>
      </c>
      <c r="G553" s="25">
        <f t="shared" si="13"/>
        <v>1.1270243090474086E-2</v>
      </c>
    </row>
    <row r="554" spans="1:7">
      <c r="A554" s="46">
        <v>282.48</v>
      </c>
      <c r="B554" s="46">
        <v>289.99</v>
      </c>
      <c r="C554" s="46">
        <v>281.12</v>
      </c>
      <c r="D554" s="46">
        <v>285.32799999999997</v>
      </c>
      <c r="E554" s="46">
        <v>1772734</v>
      </c>
      <c r="F554" s="46" t="s">
        <v>584</v>
      </c>
      <c r="G554" s="25">
        <f t="shared" si="13"/>
        <v>-9.9814949812144782E-3</v>
      </c>
    </row>
    <row r="555" spans="1:7">
      <c r="A555" s="46">
        <v>277.49</v>
      </c>
      <c r="B555" s="46">
        <v>278.55</v>
      </c>
      <c r="C555" s="46">
        <v>269.49</v>
      </c>
      <c r="D555" s="46">
        <v>273.41000000000003</v>
      </c>
      <c r="E555" s="46">
        <v>1536435</v>
      </c>
      <c r="F555" s="46" t="s">
        <v>585</v>
      </c>
      <c r="G555" s="25">
        <f t="shared" si="13"/>
        <v>1.4922643648732636E-2</v>
      </c>
    </row>
    <row r="556" spans="1:7">
      <c r="A556" s="46">
        <v>272.39999999999998</v>
      </c>
      <c r="B556" s="46">
        <v>278.95</v>
      </c>
      <c r="C556" s="46">
        <v>271.89499999999998</v>
      </c>
      <c r="D556" s="46">
        <v>277.98</v>
      </c>
      <c r="E556" s="46">
        <v>1095214</v>
      </c>
      <c r="F556" s="46" t="s">
        <v>586</v>
      </c>
      <c r="G556" s="25">
        <f t="shared" si="13"/>
        <v>-2.0073386574573804E-2</v>
      </c>
    </row>
    <row r="557" spans="1:7">
      <c r="A557" s="46">
        <v>277.93</v>
      </c>
      <c r="B557" s="46">
        <v>282.44749999999999</v>
      </c>
      <c r="C557" s="46">
        <v>276.8</v>
      </c>
      <c r="D557" s="46">
        <v>280.5</v>
      </c>
      <c r="E557" s="46">
        <v>1620156</v>
      </c>
      <c r="F557" s="46" t="s">
        <v>587</v>
      </c>
      <c r="G557" s="25">
        <f t="shared" si="13"/>
        <v>-9.1622103386809206E-3</v>
      </c>
    </row>
    <row r="558" spans="1:7">
      <c r="A558" s="46">
        <v>278.69</v>
      </c>
      <c r="B558" s="46">
        <v>279.62</v>
      </c>
      <c r="C558" s="46">
        <v>275.27499999999998</v>
      </c>
      <c r="D558" s="46">
        <v>277.22000000000003</v>
      </c>
      <c r="E558" s="46">
        <v>1810265</v>
      </c>
      <c r="F558" s="46" t="s">
        <v>588</v>
      </c>
      <c r="G558" s="25">
        <f t="shared" si="13"/>
        <v>5.3026477166149277E-3</v>
      </c>
    </row>
    <row r="559" spans="1:7">
      <c r="A559" s="46">
        <v>277.26</v>
      </c>
      <c r="B559" s="46">
        <v>279.52</v>
      </c>
      <c r="C559" s="46">
        <v>273.7</v>
      </c>
      <c r="D559" s="46">
        <v>278.13</v>
      </c>
      <c r="E559" s="46">
        <v>1156013</v>
      </c>
      <c r="F559" s="46" t="s">
        <v>589</v>
      </c>
      <c r="G559" s="25">
        <f t="shared" si="13"/>
        <v>-3.1280336533275888E-3</v>
      </c>
    </row>
    <row r="560" spans="1:7">
      <c r="A560" s="46">
        <v>278.52</v>
      </c>
      <c r="B560" s="46">
        <v>281.58</v>
      </c>
      <c r="C560" s="46">
        <v>277.39</v>
      </c>
      <c r="D560" s="46">
        <v>280.22000000000003</v>
      </c>
      <c r="E560" s="46">
        <v>1310940</v>
      </c>
      <c r="F560" s="46" t="s">
        <v>590</v>
      </c>
      <c r="G560" s="25">
        <f t="shared" si="13"/>
        <v>-6.0666619085005813E-3</v>
      </c>
    </row>
    <row r="561" spans="1:7">
      <c r="A561" s="46">
        <v>277.89</v>
      </c>
      <c r="B561" s="46">
        <v>278.14999999999998</v>
      </c>
      <c r="C561" s="46">
        <v>272.63</v>
      </c>
      <c r="D561" s="46">
        <v>274.57</v>
      </c>
      <c r="E561" s="46">
        <v>1965926</v>
      </c>
      <c r="F561" s="46" t="s">
        <v>591</v>
      </c>
      <c r="G561" s="25">
        <f t="shared" si="13"/>
        <v>1.2091634191645051E-2</v>
      </c>
    </row>
    <row r="562" spans="1:7">
      <c r="A562" s="46">
        <v>270.45999999999998</v>
      </c>
      <c r="B562" s="46">
        <v>272.18</v>
      </c>
      <c r="C562" s="46">
        <v>262</v>
      </c>
      <c r="D562" s="46">
        <v>262.17</v>
      </c>
      <c r="E562" s="46">
        <v>2087263</v>
      </c>
      <c r="F562" s="46" t="s">
        <v>592</v>
      </c>
      <c r="G562" s="25">
        <f t="shared" si="13"/>
        <v>3.1620704123278554E-2</v>
      </c>
    </row>
    <row r="563" spans="1:7">
      <c r="A563" s="46">
        <v>262.22000000000003</v>
      </c>
      <c r="B563" s="46">
        <v>263.95</v>
      </c>
      <c r="C563" s="46">
        <v>260.17</v>
      </c>
      <c r="D563" s="46">
        <v>260.39</v>
      </c>
      <c r="E563" s="46">
        <v>2373380</v>
      </c>
      <c r="F563" s="46" t="s">
        <v>593</v>
      </c>
      <c r="G563" s="25">
        <f t="shared" si="13"/>
        <v>7.0279196589733139E-3</v>
      </c>
    </row>
    <row r="564" spans="1:7">
      <c r="A564" s="46">
        <v>258.49</v>
      </c>
      <c r="B564" s="46">
        <v>261.14999999999998</v>
      </c>
      <c r="C564" s="46">
        <v>254.85</v>
      </c>
      <c r="D564" s="46">
        <v>260.08</v>
      </c>
      <c r="E564" s="46">
        <v>2277841</v>
      </c>
      <c r="F564" s="46" t="s">
        <v>594</v>
      </c>
      <c r="G564" s="25">
        <f t="shared" si="13"/>
        <v>-6.1135035373730551E-3</v>
      </c>
    </row>
    <row r="565" spans="1:7">
      <c r="A565" s="46">
        <v>258.98</v>
      </c>
      <c r="B565" s="46">
        <v>264.77</v>
      </c>
      <c r="C565" s="46">
        <v>257.01</v>
      </c>
      <c r="D565" s="46">
        <v>263.82</v>
      </c>
      <c r="E565" s="46">
        <v>1861819</v>
      </c>
      <c r="F565" s="46" t="s">
        <v>595</v>
      </c>
      <c r="G565" s="25">
        <f t="shared" si="13"/>
        <v>-1.8345841861875378E-2</v>
      </c>
    </row>
    <row r="566" spans="1:7">
      <c r="A566" s="46">
        <v>259.51</v>
      </c>
      <c r="B566" s="46">
        <v>264.24</v>
      </c>
      <c r="C566" s="46">
        <v>255.95</v>
      </c>
      <c r="D566" s="46">
        <v>264.24</v>
      </c>
      <c r="E566" s="46">
        <v>2924876</v>
      </c>
      <c r="F566" s="46" t="s">
        <v>596</v>
      </c>
      <c r="G566" s="25">
        <f t="shared" si="13"/>
        <v>-1.7900393581592566E-2</v>
      </c>
    </row>
    <row r="567" spans="1:7">
      <c r="A567" s="46">
        <v>266.61</v>
      </c>
      <c r="B567" s="46">
        <v>281.88</v>
      </c>
      <c r="C567" s="46">
        <v>266.13</v>
      </c>
      <c r="D567" s="46">
        <v>280.13</v>
      </c>
      <c r="E567" s="46">
        <v>2618054</v>
      </c>
      <c r="F567" s="46" t="s">
        <v>597</v>
      </c>
      <c r="G567" s="25">
        <f t="shared" si="13"/>
        <v>-4.8263306322064659E-2</v>
      </c>
    </row>
    <row r="568" spans="1:7">
      <c r="A568" s="46">
        <v>277.39</v>
      </c>
      <c r="B568" s="46">
        <v>280.02</v>
      </c>
      <c r="C568" s="46">
        <v>271.77</v>
      </c>
      <c r="D568" s="46">
        <v>271.93</v>
      </c>
      <c r="E568" s="46">
        <v>2529146</v>
      </c>
      <c r="F568" s="46" t="s">
        <v>598</v>
      </c>
      <c r="G568" s="25">
        <f t="shared" si="13"/>
        <v>2.0078696723421441E-2</v>
      </c>
    </row>
    <row r="569" spans="1:7">
      <c r="A569" s="46">
        <v>272.58999999999997</v>
      </c>
      <c r="B569" s="46">
        <v>278.18</v>
      </c>
      <c r="C569" s="46">
        <v>267.05</v>
      </c>
      <c r="D569" s="46">
        <v>268.5</v>
      </c>
      <c r="E569" s="46">
        <v>2556159</v>
      </c>
      <c r="F569" s="46" t="s">
        <v>599</v>
      </c>
      <c r="G569" s="25">
        <f t="shared" si="13"/>
        <v>1.5232774674115435E-2</v>
      </c>
    </row>
    <row r="570" spans="1:7">
      <c r="A570" s="46">
        <v>266.91000000000003</v>
      </c>
      <c r="B570" s="46">
        <v>269.49</v>
      </c>
      <c r="C570" s="46">
        <v>256.72000000000003</v>
      </c>
      <c r="D570" s="46">
        <v>260.05</v>
      </c>
      <c r="E570" s="46">
        <v>7002531</v>
      </c>
      <c r="F570" s="46" t="s">
        <v>600</v>
      </c>
      <c r="G570" s="25">
        <f t="shared" si="13"/>
        <v>2.6379542395693178E-2</v>
      </c>
    </row>
    <row r="571" spans="1:7">
      <c r="A571" s="46">
        <v>273.45</v>
      </c>
      <c r="B571" s="46">
        <v>278.13</v>
      </c>
      <c r="C571" s="46">
        <v>271.70999999999998</v>
      </c>
      <c r="D571" s="46">
        <v>277.10000000000002</v>
      </c>
      <c r="E571" s="46">
        <v>3022847</v>
      </c>
      <c r="F571" s="46" t="s">
        <v>601</v>
      </c>
      <c r="G571" s="25">
        <f t="shared" si="13"/>
        <v>-1.3172140021652901E-2</v>
      </c>
    </row>
    <row r="572" spans="1:7">
      <c r="A572" s="46">
        <v>275.52</v>
      </c>
      <c r="B572" s="46">
        <v>278.7</v>
      </c>
      <c r="C572" s="46">
        <v>273.05</v>
      </c>
      <c r="D572" s="46">
        <v>275</v>
      </c>
      <c r="E572" s="46">
        <v>1993131</v>
      </c>
      <c r="F572" s="46" t="s">
        <v>602</v>
      </c>
      <c r="G572" s="25">
        <f t="shared" si="13"/>
        <v>1.8909090909089432E-3</v>
      </c>
    </row>
    <row r="573" spans="1:7">
      <c r="A573" s="46">
        <v>275.37</v>
      </c>
      <c r="B573" s="46">
        <v>279.62</v>
      </c>
      <c r="C573" s="46">
        <v>268.43</v>
      </c>
      <c r="D573" s="46">
        <v>272.41000000000003</v>
      </c>
      <c r="E573" s="46">
        <v>2518811</v>
      </c>
      <c r="F573" s="46" t="s">
        <v>603</v>
      </c>
      <c r="G573" s="25">
        <f t="shared" si="13"/>
        <v>1.086597408318335E-2</v>
      </c>
    </row>
    <row r="574" spans="1:7">
      <c r="A574" s="46">
        <v>274.16000000000003</v>
      </c>
      <c r="B574" s="46">
        <v>278.61</v>
      </c>
      <c r="C574" s="46">
        <v>270.60000000000002</v>
      </c>
      <c r="D574" s="46">
        <v>276</v>
      </c>
      <c r="E574" s="46">
        <v>2283273</v>
      </c>
      <c r="F574" s="46" t="s">
        <v>604</v>
      </c>
      <c r="G574" s="25">
        <f t="shared" si="13"/>
        <v>-6.6666666666665986E-3</v>
      </c>
    </row>
    <row r="575" spans="1:7">
      <c r="A575" s="46">
        <v>273.14999999999998</v>
      </c>
      <c r="B575" s="46">
        <v>273.72000000000003</v>
      </c>
      <c r="C575" s="46">
        <v>265.5</v>
      </c>
      <c r="D575" s="46">
        <v>266.83</v>
      </c>
      <c r="E575" s="46">
        <v>2938452</v>
      </c>
      <c r="F575" s="46" t="s">
        <v>605</v>
      </c>
      <c r="G575" s="25">
        <f t="shared" si="13"/>
        <v>2.3685492635760586E-2</v>
      </c>
    </row>
    <row r="576" spans="1:7">
      <c r="A576" s="46">
        <v>266.12</v>
      </c>
      <c r="B576" s="46">
        <v>283.26499999999999</v>
      </c>
      <c r="C576" s="46">
        <v>265.60000000000002</v>
      </c>
      <c r="D576" s="46">
        <v>281.93</v>
      </c>
      <c r="E576" s="46">
        <v>5153342</v>
      </c>
      <c r="F576" s="46" t="s">
        <v>606</v>
      </c>
      <c r="G576" s="25">
        <f t="shared" si="13"/>
        <v>-5.6077749796048626E-2</v>
      </c>
    </row>
    <row r="577" spans="1:7">
      <c r="A577" s="46">
        <v>281.79000000000002</v>
      </c>
      <c r="B577" s="46">
        <v>298.72000000000003</v>
      </c>
      <c r="C577" s="46">
        <v>278.20499999999998</v>
      </c>
      <c r="D577" s="46">
        <v>298.66000000000003</v>
      </c>
      <c r="E577" s="46">
        <v>3560364</v>
      </c>
      <c r="F577" s="46" t="s">
        <v>607</v>
      </c>
      <c r="G577" s="25">
        <f t="shared" si="13"/>
        <v>-5.6485635840085702E-2</v>
      </c>
    </row>
    <row r="578" spans="1:7">
      <c r="A578" s="46">
        <v>297.83</v>
      </c>
      <c r="B578" s="46">
        <v>301.07</v>
      </c>
      <c r="C578" s="46">
        <v>292.52</v>
      </c>
      <c r="D578" s="46">
        <v>295.13</v>
      </c>
      <c r="E578" s="46">
        <v>1459776</v>
      </c>
      <c r="F578" s="46" t="s">
        <v>608</v>
      </c>
      <c r="G578" s="25">
        <f t="shared" si="13"/>
        <v>9.1485108257378656E-3</v>
      </c>
    </row>
    <row r="579" spans="1:7">
      <c r="A579" s="46">
        <v>294.49</v>
      </c>
      <c r="B579" s="46">
        <v>295.13</v>
      </c>
      <c r="C579" s="46">
        <v>289.60250000000002</v>
      </c>
      <c r="D579" s="46">
        <v>293.13</v>
      </c>
      <c r="E579" s="46">
        <v>920385</v>
      </c>
      <c r="F579" s="46" t="s">
        <v>609</v>
      </c>
      <c r="G579" s="25">
        <f t="shared" si="13"/>
        <v>4.6395797086618007E-3</v>
      </c>
    </row>
    <row r="580" spans="1:7">
      <c r="A580" s="46">
        <v>295.68</v>
      </c>
      <c r="B580" s="46">
        <v>296.73</v>
      </c>
      <c r="C580" s="46">
        <v>284.99</v>
      </c>
      <c r="D580" s="46">
        <v>286.47000000000003</v>
      </c>
      <c r="E580" s="46">
        <v>1444071</v>
      </c>
      <c r="F580" s="46" t="s">
        <v>610</v>
      </c>
      <c r="G580" s="25">
        <f t="shared" si="13"/>
        <v>3.2149963346947308E-2</v>
      </c>
    </row>
    <row r="581" spans="1:7">
      <c r="A581" s="46">
        <v>290.08999999999997</v>
      </c>
      <c r="B581" s="46">
        <v>292.45</v>
      </c>
      <c r="C581" s="46">
        <v>284.79500000000002</v>
      </c>
      <c r="D581" s="46">
        <v>291.85000000000002</v>
      </c>
      <c r="E581" s="46">
        <v>963159</v>
      </c>
      <c r="F581" s="46" t="s">
        <v>611</v>
      </c>
      <c r="G581" s="25">
        <f t="shared" si="13"/>
        <v>-6.0304951173549837E-3</v>
      </c>
    </row>
    <row r="582" spans="1:7">
      <c r="A582" s="46">
        <v>290.27999999999997</v>
      </c>
      <c r="B582" s="46">
        <v>290.82</v>
      </c>
      <c r="C582" s="46">
        <v>285.46620000000001</v>
      </c>
      <c r="D582" s="46">
        <v>289.62</v>
      </c>
      <c r="E582" s="46">
        <v>1123927</v>
      </c>
      <c r="F582" s="46" t="s">
        <v>612</v>
      </c>
      <c r="G582" s="25">
        <f t="shared" si="13"/>
        <v>2.278848145846224E-3</v>
      </c>
    </row>
    <row r="583" spans="1:7">
      <c r="A583" s="46">
        <v>288.04000000000002</v>
      </c>
      <c r="B583" s="46">
        <v>292.83</v>
      </c>
      <c r="C583" s="46">
        <v>286.47000000000003</v>
      </c>
      <c r="D583" s="46">
        <v>291.54000000000002</v>
      </c>
      <c r="E583" s="46">
        <v>1059949</v>
      </c>
      <c r="F583" s="46" t="s">
        <v>613</v>
      </c>
      <c r="G583" s="25">
        <f t="shared" si="13"/>
        <v>-1.2005213692803718E-2</v>
      </c>
    </row>
    <row r="584" spans="1:7">
      <c r="A584" s="46">
        <v>294.98</v>
      </c>
      <c r="B584" s="46">
        <v>296.39330000000001</v>
      </c>
      <c r="C584" s="46">
        <v>290.01</v>
      </c>
      <c r="D584" s="46">
        <v>291.95999999999998</v>
      </c>
      <c r="E584" s="46">
        <v>978189</v>
      </c>
      <c r="F584" s="46" t="s">
        <v>614</v>
      </c>
      <c r="G584" s="25">
        <f t="shared" si="13"/>
        <v>1.0343882723660824E-2</v>
      </c>
    </row>
    <row r="585" spans="1:7">
      <c r="A585" s="46">
        <v>292.29000000000002</v>
      </c>
      <c r="B585" s="46">
        <v>298.35000000000002</v>
      </c>
      <c r="C585" s="46">
        <v>291.7</v>
      </c>
      <c r="D585" s="46">
        <v>297.87</v>
      </c>
      <c r="E585" s="46">
        <v>1294334</v>
      </c>
      <c r="F585" s="46" t="s">
        <v>615</v>
      </c>
      <c r="G585" s="25">
        <f t="shared" si="13"/>
        <v>-1.8733004330748204E-2</v>
      </c>
    </row>
    <row r="586" spans="1:7">
      <c r="A586" s="46">
        <v>296.14999999999998</v>
      </c>
      <c r="B586" s="46">
        <v>297.39999999999998</v>
      </c>
      <c r="C586" s="46">
        <v>292.13</v>
      </c>
      <c r="D586" s="46">
        <v>292.13</v>
      </c>
      <c r="E586" s="46">
        <v>1206565</v>
      </c>
      <c r="F586" s="46" t="s">
        <v>616</v>
      </c>
      <c r="G586" s="25">
        <f t="shared" si="13"/>
        <v>1.3760996816485793E-2</v>
      </c>
    </row>
    <row r="587" spans="1:7">
      <c r="A587" s="46">
        <v>291.43</v>
      </c>
      <c r="B587" s="46">
        <v>297.45499999999998</v>
      </c>
      <c r="C587" s="46">
        <v>288.55</v>
      </c>
      <c r="D587" s="46">
        <v>292</v>
      </c>
      <c r="E587" s="46">
        <v>1749135</v>
      </c>
      <c r="F587" s="46" t="s">
        <v>617</v>
      </c>
      <c r="G587" s="25">
        <f t="shared" si="13"/>
        <v>-1.9520547945205413E-3</v>
      </c>
    </row>
    <row r="588" spans="1:7">
      <c r="A588" s="46">
        <v>290.74</v>
      </c>
      <c r="B588" s="46">
        <v>292.85000000000002</v>
      </c>
      <c r="C588" s="46">
        <v>288.95</v>
      </c>
      <c r="D588" s="46">
        <v>291.73</v>
      </c>
      <c r="E588" s="46">
        <v>1297599</v>
      </c>
      <c r="F588" s="46" t="s">
        <v>618</v>
      </c>
      <c r="G588" s="25">
        <f t="shared" si="13"/>
        <v>-3.3935488293971305E-3</v>
      </c>
    </row>
    <row r="589" spans="1:7">
      <c r="A589" s="46">
        <v>293.25</v>
      </c>
      <c r="B589" s="46">
        <v>293.39</v>
      </c>
      <c r="C589" s="46">
        <v>285.74</v>
      </c>
      <c r="D589" s="46">
        <v>286.39999999999998</v>
      </c>
      <c r="E589" s="46">
        <v>1519437</v>
      </c>
      <c r="F589" s="46" t="s">
        <v>619</v>
      </c>
      <c r="G589" s="25">
        <f t="shared" si="13"/>
        <v>2.3917597765363174E-2</v>
      </c>
    </row>
    <row r="590" spans="1:7">
      <c r="A590" s="46">
        <v>288.2</v>
      </c>
      <c r="B590" s="46">
        <v>293.92</v>
      </c>
      <c r="C590" s="46">
        <v>284.42</v>
      </c>
      <c r="D590" s="46">
        <v>286.49</v>
      </c>
      <c r="E590" s="46">
        <v>1962444</v>
      </c>
      <c r="F590" s="46" t="s">
        <v>620</v>
      </c>
      <c r="G590" s="25">
        <f t="shared" si="13"/>
        <v>5.9687947223288074E-3</v>
      </c>
    </row>
    <row r="591" spans="1:7">
      <c r="A591" s="46">
        <v>284.35000000000002</v>
      </c>
      <c r="B591" s="46">
        <v>290.66000000000003</v>
      </c>
      <c r="C591" s="46">
        <v>283.74</v>
      </c>
      <c r="D591" s="46">
        <v>290.06</v>
      </c>
      <c r="E591" s="46">
        <v>2039755</v>
      </c>
      <c r="F591" s="46" t="s">
        <v>621</v>
      </c>
      <c r="G591" s="25">
        <f t="shared" si="13"/>
        <v>-1.9685582293318515E-2</v>
      </c>
    </row>
    <row r="592" spans="1:7">
      <c r="A592" s="46">
        <v>291.95999999999998</v>
      </c>
      <c r="B592" s="46">
        <v>303.39</v>
      </c>
      <c r="C592" s="46">
        <v>291.79000000000002</v>
      </c>
      <c r="D592" s="46">
        <v>303.17</v>
      </c>
      <c r="E592" s="46">
        <v>1391844</v>
      </c>
      <c r="F592" s="46" t="s">
        <v>622</v>
      </c>
      <c r="G592" s="25">
        <f t="shared" si="13"/>
        <v>-3.6975954085166851E-2</v>
      </c>
    </row>
    <row r="593" spans="1:7">
      <c r="A593" s="46">
        <v>299.64999999999998</v>
      </c>
      <c r="B593" s="46">
        <v>300.48</v>
      </c>
      <c r="C593" s="46">
        <v>295.25</v>
      </c>
      <c r="D593" s="46">
        <v>298.17</v>
      </c>
      <c r="E593" s="46">
        <v>1076576</v>
      </c>
      <c r="F593" s="46" t="s">
        <v>623</v>
      </c>
      <c r="G593" s="25">
        <f t="shared" si="13"/>
        <v>4.9636113626454481E-3</v>
      </c>
    </row>
    <row r="594" spans="1:7">
      <c r="A594" s="46">
        <v>298.17</v>
      </c>
      <c r="B594" s="46">
        <v>303.79500000000002</v>
      </c>
      <c r="C594" s="46">
        <v>296</v>
      </c>
      <c r="D594" s="46">
        <v>296.13</v>
      </c>
      <c r="E594" s="46">
        <v>1007141</v>
      </c>
      <c r="F594" s="46" t="s">
        <v>624</v>
      </c>
      <c r="G594" s="25">
        <f t="shared" si="13"/>
        <v>6.8888663762536329E-3</v>
      </c>
    </row>
    <row r="595" spans="1:7">
      <c r="A595" s="46">
        <v>295.54000000000002</v>
      </c>
      <c r="B595" s="46">
        <v>304.04000000000002</v>
      </c>
      <c r="C595" s="46">
        <v>294.84500000000003</v>
      </c>
      <c r="D595" s="46">
        <v>303.74</v>
      </c>
      <c r="E595" s="46">
        <v>2792093</v>
      </c>
      <c r="F595" s="46" t="s">
        <v>625</v>
      </c>
      <c r="G595" s="25">
        <f t="shared" si="13"/>
        <v>-2.6996773556331011E-2</v>
      </c>
    </row>
    <row r="596" spans="1:7">
      <c r="A596" s="46">
        <v>303.74</v>
      </c>
      <c r="B596" s="46">
        <v>305.87</v>
      </c>
      <c r="C596" s="46">
        <v>299.81</v>
      </c>
      <c r="D596" s="46">
        <v>305.23</v>
      </c>
      <c r="E596" s="46">
        <v>1348461</v>
      </c>
      <c r="F596" s="46" t="s">
        <v>626</v>
      </c>
      <c r="G596" s="25">
        <f t="shared" si="13"/>
        <v>-4.8815647216853275E-3</v>
      </c>
    </row>
    <row r="597" spans="1:7">
      <c r="A597" s="46">
        <v>302.7</v>
      </c>
      <c r="B597" s="46">
        <v>304.95</v>
      </c>
      <c r="C597" s="46">
        <v>300.14</v>
      </c>
      <c r="D597" s="46">
        <v>301.05</v>
      </c>
      <c r="E597" s="46">
        <v>1225361</v>
      </c>
      <c r="F597" s="46" t="s">
        <v>627</v>
      </c>
      <c r="G597" s="25">
        <f t="shared" si="13"/>
        <v>5.4808171400098082E-3</v>
      </c>
    </row>
    <row r="598" spans="1:7">
      <c r="A598" s="46">
        <v>301.55</v>
      </c>
      <c r="B598" s="46">
        <v>302.88</v>
      </c>
      <c r="C598" s="46">
        <v>300</v>
      </c>
      <c r="D598" s="46">
        <v>300.92</v>
      </c>
      <c r="E598" s="46">
        <v>1205376</v>
      </c>
      <c r="F598" s="46" t="s">
        <v>628</v>
      </c>
      <c r="G598" s="25">
        <f t="shared" si="13"/>
        <v>2.0935796889538505E-3</v>
      </c>
    </row>
    <row r="599" spans="1:7">
      <c r="A599" s="46">
        <v>302.35000000000002</v>
      </c>
      <c r="B599" s="46">
        <v>304.185</v>
      </c>
      <c r="C599" s="46">
        <v>298.697</v>
      </c>
      <c r="D599" s="46">
        <v>300</v>
      </c>
      <c r="E599" s="46">
        <v>1566542</v>
      </c>
      <c r="F599" s="46" t="s">
        <v>629</v>
      </c>
      <c r="G599" s="25">
        <f t="shared" si="13"/>
        <v>7.8333333333333588E-3</v>
      </c>
    </row>
    <row r="600" spans="1:7">
      <c r="A600" s="46">
        <v>298.22000000000003</v>
      </c>
      <c r="B600" s="46">
        <v>300.22000000000003</v>
      </c>
      <c r="C600" s="46">
        <v>296.57499999999999</v>
      </c>
      <c r="D600" s="46">
        <v>297.55</v>
      </c>
      <c r="E600" s="46">
        <v>1507751</v>
      </c>
      <c r="F600" s="46" t="s">
        <v>630</v>
      </c>
      <c r="G600" s="25">
        <f t="shared" si="13"/>
        <v>2.2517223995968116E-3</v>
      </c>
    </row>
    <row r="601" spans="1:7">
      <c r="A601" s="46">
        <v>297.22000000000003</v>
      </c>
      <c r="B601" s="46">
        <v>305.97000000000003</v>
      </c>
      <c r="C601" s="46">
        <v>295.01</v>
      </c>
      <c r="D601" s="46">
        <v>305.52999999999997</v>
      </c>
      <c r="E601" s="46">
        <v>2117376</v>
      </c>
      <c r="F601" s="46" t="s">
        <v>631</v>
      </c>
      <c r="G601" s="25">
        <f t="shared" si="13"/>
        <v>-2.7198638431577771E-2</v>
      </c>
    </row>
    <row r="602" spans="1:7">
      <c r="A602" s="46">
        <v>307.83999999999997</v>
      </c>
      <c r="B602" s="46">
        <v>309.64999999999998</v>
      </c>
      <c r="C602" s="46">
        <v>303.80180000000001</v>
      </c>
      <c r="D602" s="46">
        <v>309.48</v>
      </c>
      <c r="E602" s="46">
        <v>1171433</v>
      </c>
      <c r="F602" s="46" t="s">
        <v>632</v>
      </c>
      <c r="G602" s="25">
        <f t="shared" si="13"/>
        <v>-5.2992115807162232E-3</v>
      </c>
    </row>
    <row r="603" spans="1:7">
      <c r="A603" s="46">
        <v>307.68</v>
      </c>
      <c r="B603" s="46">
        <v>311.38</v>
      </c>
      <c r="C603" s="46">
        <v>306.68</v>
      </c>
      <c r="D603" s="46">
        <v>310</v>
      </c>
      <c r="E603" s="46">
        <v>944096</v>
      </c>
      <c r="F603" s="46" t="s">
        <v>633</v>
      </c>
      <c r="G603" s="25">
        <f t="shared" si="13"/>
        <v>-7.4838709677419457E-3</v>
      </c>
    </row>
    <row r="604" spans="1:7">
      <c r="A604" s="46">
        <v>310.41000000000003</v>
      </c>
      <c r="B604" s="46">
        <v>318.2</v>
      </c>
      <c r="C604" s="46">
        <v>309.2</v>
      </c>
      <c r="D604" s="46">
        <v>317.55</v>
      </c>
      <c r="E604" s="46">
        <v>1335739</v>
      </c>
      <c r="F604" s="46" t="s">
        <v>634</v>
      </c>
      <c r="G604" s="25">
        <f t="shared" si="13"/>
        <v>-2.2484648086915415E-2</v>
      </c>
    </row>
    <row r="605" spans="1:7">
      <c r="A605" s="46">
        <v>312.68</v>
      </c>
      <c r="B605" s="46">
        <v>321.31</v>
      </c>
      <c r="C605" s="46">
        <v>312.45999999999998</v>
      </c>
      <c r="D605" s="46">
        <v>319.60000000000002</v>
      </c>
      <c r="E605" s="46">
        <v>2076948</v>
      </c>
      <c r="F605" s="46" t="s">
        <v>635</v>
      </c>
      <c r="G605" s="25">
        <f t="shared" si="13"/>
        <v>-2.1652065081351757E-2</v>
      </c>
    </row>
    <row r="606" spans="1:7">
      <c r="A606" s="46">
        <v>318.58</v>
      </c>
      <c r="B606" s="46">
        <v>319.52499999999998</v>
      </c>
      <c r="C606" s="46">
        <v>312.05</v>
      </c>
      <c r="D606" s="46">
        <v>312.05</v>
      </c>
      <c r="E606" s="46">
        <v>2092079</v>
      </c>
      <c r="F606" s="46" t="s">
        <v>636</v>
      </c>
      <c r="G606" s="25">
        <f t="shared" si="13"/>
        <v>2.0926133632430677E-2</v>
      </c>
    </row>
    <row r="607" spans="1:7">
      <c r="A607" s="46">
        <v>310.39</v>
      </c>
      <c r="B607" s="46">
        <v>311.08</v>
      </c>
      <c r="C607" s="46">
        <v>301.5</v>
      </c>
      <c r="D607" s="46">
        <v>301.5</v>
      </c>
      <c r="E607" s="46">
        <v>1804716</v>
      </c>
      <c r="F607" s="46" t="s">
        <v>637</v>
      </c>
      <c r="G607" s="25">
        <f t="shared" si="13"/>
        <v>2.9485903814262082E-2</v>
      </c>
    </row>
    <row r="608" spans="1:7">
      <c r="A608" s="46">
        <v>301.48</v>
      </c>
      <c r="B608" s="46">
        <v>304.91000000000003</v>
      </c>
      <c r="C608" s="46">
        <v>300</v>
      </c>
      <c r="D608" s="46">
        <v>301.22000000000003</v>
      </c>
      <c r="E608" s="46">
        <v>1450309</v>
      </c>
      <c r="F608" s="46" t="s">
        <v>638</v>
      </c>
      <c r="G608" s="25">
        <f t="shared" si="13"/>
        <v>8.6315649691259821E-4</v>
      </c>
    </row>
    <row r="609" spans="1:7">
      <c r="A609" s="46">
        <v>297.55</v>
      </c>
      <c r="B609" s="46">
        <v>298.36</v>
      </c>
      <c r="C609" s="46">
        <v>286.74</v>
      </c>
      <c r="D609" s="46">
        <v>287.27999999999997</v>
      </c>
      <c r="E609" s="46">
        <v>1920616</v>
      </c>
      <c r="F609" s="46" t="s">
        <v>639</v>
      </c>
      <c r="G609" s="25">
        <f t="shared" ref="G609:G672" si="14">A609/D609-1</f>
        <v>3.5749094959621308E-2</v>
      </c>
    </row>
    <row r="610" spans="1:7">
      <c r="A610" s="46">
        <v>285.64</v>
      </c>
      <c r="B610" s="46">
        <v>293.49</v>
      </c>
      <c r="C610" s="46">
        <v>285.47000000000003</v>
      </c>
      <c r="D610" s="46">
        <v>292.88</v>
      </c>
      <c r="E610" s="46">
        <v>1558938</v>
      </c>
      <c r="F610" s="46" t="s">
        <v>640</v>
      </c>
      <c r="G610" s="25">
        <f t="shared" si="14"/>
        <v>-2.47200218519531E-2</v>
      </c>
    </row>
    <row r="611" spans="1:7">
      <c r="A611" s="46">
        <v>290.39</v>
      </c>
      <c r="B611" s="46">
        <v>292.7</v>
      </c>
      <c r="C611" s="46">
        <v>287.56</v>
      </c>
      <c r="D611" s="46">
        <v>287.56</v>
      </c>
      <c r="E611" s="46">
        <v>1321796</v>
      </c>
      <c r="F611" s="46" t="s">
        <v>641</v>
      </c>
      <c r="G611" s="25">
        <f t="shared" si="14"/>
        <v>9.8414243983864225E-3</v>
      </c>
    </row>
    <row r="612" spans="1:7">
      <c r="A612" s="46">
        <v>287.16000000000003</v>
      </c>
      <c r="B612" s="46">
        <v>289.08</v>
      </c>
      <c r="C612" s="46">
        <v>285.72500000000002</v>
      </c>
      <c r="D612" s="46">
        <v>287.73</v>
      </c>
      <c r="E612" s="46">
        <v>1161420</v>
      </c>
      <c r="F612" s="46" t="s">
        <v>642</v>
      </c>
      <c r="G612" s="25">
        <f t="shared" si="14"/>
        <v>-1.9810238765508581E-3</v>
      </c>
    </row>
    <row r="613" spans="1:7">
      <c r="A613" s="46">
        <v>286.67</v>
      </c>
      <c r="B613" s="46">
        <v>286.88</v>
      </c>
      <c r="C613" s="46">
        <v>282.5</v>
      </c>
      <c r="D613" s="46">
        <v>286.12</v>
      </c>
      <c r="E613" s="46">
        <v>1776761</v>
      </c>
      <c r="F613" s="46" t="s">
        <v>643</v>
      </c>
      <c r="G613" s="25">
        <f t="shared" si="14"/>
        <v>1.9222703760659599E-3</v>
      </c>
    </row>
    <row r="614" spans="1:7">
      <c r="A614" s="46">
        <v>285.95</v>
      </c>
      <c r="B614" s="46">
        <v>291.06</v>
      </c>
      <c r="C614" s="46">
        <v>284.88</v>
      </c>
      <c r="D614" s="46">
        <v>287.45999999999998</v>
      </c>
      <c r="E614" s="46">
        <v>2983657</v>
      </c>
      <c r="F614" s="46" t="s">
        <v>644</v>
      </c>
      <c r="G614" s="25">
        <f t="shared" si="14"/>
        <v>-5.2529047519654926E-3</v>
      </c>
    </row>
    <row r="615" spans="1:7">
      <c r="A615" s="46">
        <v>290.08</v>
      </c>
      <c r="B615" s="46">
        <v>299.57</v>
      </c>
      <c r="C615" s="46">
        <v>289.11</v>
      </c>
      <c r="D615" s="46">
        <v>298.06</v>
      </c>
      <c r="E615" s="46">
        <v>2061638</v>
      </c>
      <c r="F615" s="46" t="s">
        <v>645</v>
      </c>
      <c r="G615" s="25">
        <f t="shared" si="14"/>
        <v>-2.6773132926256493E-2</v>
      </c>
    </row>
    <row r="616" spans="1:7">
      <c r="A616" s="46">
        <v>299.32</v>
      </c>
      <c r="B616" s="46">
        <v>306.27</v>
      </c>
      <c r="C616" s="46">
        <v>299.10000000000002</v>
      </c>
      <c r="D616" s="46">
        <v>305.60000000000002</v>
      </c>
      <c r="E616" s="46">
        <v>1441637</v>
      </c>
      <c r="F616" s="46" t="s">
        <v>646</v>
      </c>
      <c r="G616" s="25">
        <f t="shared" si="14"/>
        <v>-2.0549738219895364E-2</v>
      </c>
    </row>
    <row r="617" spans="1:7">
      <c r="A617" s="46">
        <v>306.62</v>
      </c>
      <c r="B617" s="46">
        <v>312.3</v>
      </c>
      <c r="C617" s="46">
        <v>305.93</v>
      </c>
      <c r="D617" s="46">
        <v>306.08999999999997</v>
      </c>
      <c r="E617" s="46">
        <v>1342268</v>
      </c>
      <c r="F617" s="46" t="s">
        <v>647</v>
      </c>
      <c r="G617" s="25">
        <f t="shared" si="14"/>
        <v>1.7315168741220965E-3</v>
      </c>
    </row>
    <row r="618" spans="1:7">
      <c r="A618" s="46">
        <v>305.08</v>
      </c>
      <c r="B618" s="46">
        <v>305.89</v>
      </c>
      <c r="C618" s="46">
        <v>303.23</v>
      </c>
      <c r="D618" s="46">
        <v>304.86</v>
      </c>
      <c r="E618" s="46">
        <v>950822</v>
      </c>
      <c r="F618" s="46" t="s">
        <v>648</v>
      </c>
      <c r="G618" s="25">
        <f t="shared" si="14"/>
        <v>7.216427212490828E-4</v>
      </c>
    </row>
    <row r="619" spans="1:7">
      <c r="A619" s="46">
        <v>304.49</v>
      </c>
      <c r="B619" s="46">
        <v>306.0908</v>
      </c>
      <c r="C619" s="46">
        <v>302.52</v>
      </c>
      <c r="D619" s="46">
        <v>302.93</v>
      </c>
      <c r="E619" s="46">
        <v>933712</v>
      </c>
      <c r="F619" s="46" t="s">
        <v>649</v>
      </c>
      <c r="G619" s="25">
        <f t="shared" si="14"/>
        <v>5.1497045522068685E-3</v>
      </c>
    </row>
    <row r="620" spans="1:7">
      <c r="A620" s="46">
        <v>304.67</v>
      </c>
      <c r="B620" s="46">
        <v>308.60000000000002</v>
      </c>
      <c r="C620" s="46">
        <v>303.82240000000002</v>
      </c>
      <c r="D620" s="46">
        <v>305.75</v>
      </c>
      <c r="E620" s="46">
        <v>1054809</v>
      </c>
      <c r="F620" s="46" t="s">
        <v>650</v>
      </c>
      <c r="G620" s="25">
        <f t="shared" si="14"/>
        <v>-3.5322976287815999E-3</v>
      </c>
    </row>
    <row r="621" spans="1:7">
      <c r="A621" s="46">
        <v>304.10000000000002</v>
      </c>
      <c r="B621" s="46">
        <v>307.39999999999998</v>
      </c>
      <c r="C621" s="46">
        <v>302.47000000000003</v>
      </c>
      <c r="D621" s="46">
        <v>302.87</v>
      </c>
      <c r="E621" s="46">
        <v>1218971</v>
      </c>
      <c r="F621" s="46" t="s">
        <v>651</v>
      </c>
      <c r="G621" s="25">
        <f t="shared" si="14"/>
        <v>4.0611483474759513E-3</v>
      </c>
    </row>
    <row r="622" spans="1:7">
      <c r="A622" s="46">
        <v>302.87</v>
      </c>
      <c r="B622" s="46">
        <v>306.27</v>
      </c>
      <c r="C622" s="46">
        <v>297.17</v>
      </c>
      <c r="D622" s="46">
        <v>306.24</v>
      </c>
      <c r="E622" s="46">
        <v>2272431</v>
      </c>
      <c r="F622" s="46" t="s">
        <v>652</v>
      </c>
      <c r="G622" s="25">
        <f t="shared" si="14"/>
        <v>-1.1004440961337569E-2</v>
      </c>
    </row>
    <row r="623" spans="1:7">
      <c r="A623" s="46">
        <v>309.24</v>
      </c>
      <c r="B623" s="46">
        <v>312.86</v>
      </c>
      <c r="C623" s="46">
        <v>307.66000000000003</v>
      </c>
      <c r="D623" s="46">
        <v>310</v>
      </c>
      <c r="E623" s="46">
        <v>1658934</v>
      </c>
      <c r="F623" s="46" t="s">
        <v>653</v>
      </c>
      <c r="G623" s="25">
        <f t="shared" si="14"/>
        <v>-2.4516129032258194E-3</v>
      </c>
    </row>
    <row r="624" spans="1:7">
      <c r="A624" s="46">
        <v>309.31</v>
      </c>
      <c r="B624" s="46">
        <v>313.27</v>
      </c>
      <c r="C624" s="46">
        <v>308.25</v>
      </c>
      <c r="D624" s="46">
        <v>311.89999999999998</v>
      </c>
      <c r="E624" s="46">
        <v>1656890</v>
      </c>
      <c r="F624" s="46" t="s">
        <v>654</v>
      </c>
      <c r="G624" s="25">
        <f t="shared" si="14"/>
        <v>-8.3039435716575349E-3</v>
      </c>
    </row>
    <row r="625" spans="1:7">
      <c r="A625" s="46">
        <v>311.27999999999997</v>
      </c>
      <c r="B625" s="46">
        <v>313.28500000000003</v>
      </c>
      <c r="C625" s="46">
        <v>306.08999999999997</v>
      </c>
      <c r="D625" s="46">
        <v>310.38</v>
      </c>
      <c r="E625" s="46">
        <v>1636155</v>
      </c>
      <c r="F625" s="46" t="s">
        <v>655</v>
      </c>
      <c r="G625" s="25">
        <f t="shared" si="14"/>
        <v>2.8996713705780053E-3</v>
      </c>
    </row>
    <row r="626" spans="1:7">
      <c r="A626" s="46">
        <v>313.87</v>
      </c>
      <c r="B626" s="46">
        <v>322.61500000000001</v>
      </c>
      <c r="C626" s="46">
        <v>313.33999999999997</v>
      </c>
      <c r="D626" s="46">
        <v>320.58999999999997</v>
      </c>
      <c r="E626" s="46">
        <v>1907204</v>
      </c>
      <c r="F626" s="46" t="s">
        <v>656</v>
      </c>
      <c r="G626" s="25">
        <f t="shared" si="14"/>
        <v>-2.0961352506316366E-2</v>
      </c>
    </row>
    <row r="627" spans="1:7">
      <c r="A627" s="46">
        <v>323.95</v>
      </c>
      <c r="B627" s="46">
        <v>324.52</v>
      </c>
      <c r="C627" s="46">
        <v>321.7</v>
      </c>
      <c r="D627" s="46">
        <v>322</v>
      </c>
      <c r="E627" s="46">
        <v>1347004</v>
      </c>
      <c r="F627" s="46" t="s">
        <v>657</v>
      </c>
      <c r="G627" s="25">
        <f t="shared" si="14"/>
        <v>6.0559006211180488E-3</v>
      </c>
    </row>
    <row r="628" spans="1:7">
      <c r="A628" s="46">
        <v>324.39999999999998</v>
      </c>
      <c r="B628" s="46">
        <v>326.27</v>
      </c>
      <c r="C628" s="46">
        <v>321.91000000000003</v>
      </c>
      <c r="D628" s="46">
        <v>325.89</v>
      </c>
      <c r="E628" s="46">
        <v>1439063</v>
      </c>
      <c r="F628" s="46" t="s">
        <v>658</v>
      </c>
      <c r="G628" s="25">
        <f t="shared" si="14"/>
        <v>-4.5720948786400761E-3</v>
      </c>
    </row>
    <row r="629" spans="1:7">
      <c r="A629" s="46">
        <v>326.52999999999997</v>
      </c>
      <c r="B629" s="46">
        <v>328.7</v>
      </c>
      <c r="C629" s="46">
        <v>324.93</v>
      </c>
      <c r="D629" s="46">
        <v>327.39999999999998</v>
      </c>
      <c r="E629" s="46">
        <v>1467929</v>
      </c>
      <c r="F629" s="46" t="s">
        <v>659</v>
      </c>
      <c r="G629" s="25">
        <f t="shared" si="14"/>
        <v>-2.6572999389126162E-3</v>
      </c>
    </row>
    <row r="630" spans="1:7">
      <c r="A630" s="46">
        <v>323.56</v>
      </c>
      <c r="B630" s="46">
        <v>333.68</v>
      </c>
      <c r="C630" s="46">
        <v>322.66000000000003</v>
      </c>
      <c r="D630" s="46">
        <v>331.71</v>
      </c>
      <c r="E630" s="46">
        <v>1641631</v>
      </c>
      <c r="F630" s="46" t="s">
        <v>660</v>
      </c>
      <c r="G630" s="25">
        <f t="shared" si="14"/>
        <v>-2.4569654216031966E-2</v>
      </c>
    </row>
    <row r="631" spans="1:7">
      <c r="A631" s="46">
        <v>329.37</v>
      </c>
      <c r="B631" s="46">
        <v>331.02</v>
      </c>
      <c r="C631" s="46">
        <v>326.56</v>
      </c>
      <c r="D631" s="46">
        <v>328.27</v>
      </c>
      <c r="E631" s="46">
        <v>1258762</v>
      </c>
      <c r="F631" s="46" t="s">
        <v>661</v>
      </c>
      <c r="G631" s="25">
        <f t="shared" si="14"/>
        <v>3.3509001736375943E-3</v>
      </c>
    </row>
    <row r="632" spans="1:7">
      <c r="A632" s="46">
        <v>330.9</v>
      </c>
      <c r="B632" s="46">
        <v>331.55500000000001</v>
      </c>
      <c r="C632" s="46">
        <v>322.45999999999998</v>
      </c>
      <c r="D632" s="46">
        <v>322.76</v>
      </c>
      <c r="E632" s="46">
        <v>2021416</v>
      </c>
      <c r="F632" s="46" t="s">
        <v>662</v>
      </c>
      <c r="G632" s="25">
        <f t="shared" si="14"/>
        <v>2.5219977692402917E-2</v>
      </c>
    </row>
    <row r="633" spans="1:7">
      <c r="A633" s="46">
        <v>323.56</v>
      </c>
      <c r="B633" s="46">
        <v>337.85</v>
      </c>
      <c r="C633" s="46">
        <v>322.64</v>
      </c>
      <c r="D633" s="46">
        <v>336.76</v>
      </c>
      <c r="E633" s="46">
        <v>2999129</v>
      </c>
      <c r="F633" s="46" t="s">
        <v>663</v>
      </c>
      <c r="G633" s="25">
        <f t="shared" si="14"/>
        <v>-3.919705428198117E-2</v>
      </c>
    </row>
    <row r="634" spans="1:7">
      <c r="A634" s="46">
        <v>336.66</v>
      </c>
      <c r="B634" s="46">
        <v>345.4</v>
      </c>
      <c r="C634" s="46">
        <v>329.53</v>
      </c>
      <c r="D634" s="46">
        <v>335.91</v>
      </c>
      <c r="E634" s="46">
        <v>9157647</v>
      </c>
      <c r="F634" s="46" t="s">
        <v>664</v>
      </c>
      <c r="G634" s="25">
        <f t="shared" si="14"/>
        <v>2.2327409127445019E-3</v>
      </c>
    </row>
    <row r="635" spans="1:7">
      <c r="A635" s="46">
        <v>347.66</v>
      </c>
      <c r="B635" s="46">
        <v>353.46</v>
      </c>
      <c r="C635" s="46">
        <v>346.85</v>
      </c>
      <c r="D635" s="46">
        <v>350.05</v>
      </c>
      <c r="E635" s="46">
        <v>3442616</v>
      </c>
      <c r="F635" s="46" t="s">
        <v>665</v>
      </c>
      <c r="G635" s="25">
        <f t="shared" si="14"/>
        <v>-6.827596057705998E-3</v>
      </c>
    </row>
    <row r="636" spans="1:7">
      <c r="A636" s="46">
        <v>349.7</v>
      </c>
      <c r="B636" s="46">
        <v>358.07</v>
      </c>
      <c r="C636" s="46">
        <v>348</v>
      </c>
      <c r="D636" s="46">
        <v>357.64</v>
      </c>
      <c r="E636" s="46">
        <v>2580076</v>
      </c>
      <c r="F636" s="46" t="s">
        <v>666</v>
      </c>
      <c r="G636" s="25">
        <f t="shared" si="14"/>
        <v>-2.220109607426457E-2</v>
      </c>
    </row>
    <row r="637" spans="1:7">
      <c r="A637" s="46">
        <v>354.93</v>
      </c>
      <c r="B637" s="46">
        <v>355.495</v>
      </c>
      <c r="C637" s="46">
        <v>346.54</v>
      </c>
      <c r="D637" s="46">
        <v>351.61</v>
      </c>
      <c r="E637" s="46">
        <v>2236757</v>
      </c>
      <c r="F637" s="46" t="s">
        <v>667</v>
      </c>
      <c r="G637" s="25">
        <f t="shared" si="14"/>
        <v>9.4422797986404294E-3</v>
      </c>
    </row>
    <row r="638" spans="1:7">
      <c r="A638" s="46">
        <v>353.84</v>
      </c>
      <c r="B638" s="46">
        <v>355.54</v>
      </c>
      <c r="C638" s="46">
        <v>348.6</v>
      </c>
      <c r="D638" s="46">
        <v>354</v>
      </c>
      <c r="E638" s="46">
        <v>1812580</v>
      </c>
      <c r="F638" s="46" t="s">
        <v>668</v>
      </c>
      <c r="G638" s="25">
        <f t="shared" si="14"/>
        <v>-4.5197740113001039E-4</v>
      </c>
    </row>
    <row r="639" spans="1:7">
      <c r="A639" s="46">
        <v>354</v>
      </c>
      <c r="B639" s="46">
        <v>355.38</v>
      </c>
      <c r="C639" s="46">
        <v>346.4</v>
      </c>
      <c r="D639" s="46">
        <v>347.5</v>
      </c>
      <c r="E639" s="46">
        <v>2072816</v>
      </c>
      <c r="F639" s="46" t="s">
        <v>669</v>
      </c>
      <c r="G639" s="25">
        <f t="shared" si="14"/>
        <v>1.8705035971223083E-2</v>
      </c>
    </row>
    <row r="640" spans="1:7">
      <c r="A640" s="46">
        <v>346.97</v>
      </c>
      <c r="B640" s="46">
        <v>349.58</v>
      </c>
      <c r="C640" s="46">
        <v>345.95</v>
      </c>
      <c r="D640" s="46">
        <v>348.32</v>
      </c>
      <c r="E640" s="46">
        <v>2314677</v>
      </c>
      <c r="F640" s="46" t="s">
        <v>670</v>
      </c>
      <c r="G640" s="25">
        <f t="shared" si="14"/>
        <v>-3.8757464400550612E-3</v>
      </c>
    </row>
    <row r="641" spans="1:7">
      <c r="A641" s="46">
        <v>347.59</v>
      </c>
      <c r="B641" s="46">
        <v>348.63</v>
      </c>
      <c r="C641" s="46">
        <v>341.4545</v>
      </c>
      <c r="D641" s="46">
        <v>342.88</v>
      </c>
      <c r="E641" s="46">
        <v>1723521</v>
      </c>
      <c r="F641" s="46" t="s">
        <v>671</v>
      </c>
      <c r="G641" s="25">
        <f t="shared" si="14"/>
        <v>1.3736584227718174E-2</v>
      </c>
    </row>
    <row r="642" spans="1:7">
      <c r="A642" s="46">
        <v>339.11</v>
      </c>
      <c r="B642" s="46">
        <v>342.76</v>
      </c>
      <c r="C642" s="46">
        <v>336.64</v>
      </c>
      <c r="D642" s="46">
        <v>340.92</v>
      </c>
      <c r="E642" s="46">
        <v>1850729</v>
      </c>
      <c r="F642" s="46" t="s">
        <v>672</v>
      </c>
      <c r="G642" s="25">
        <f t="shared" si="14"/>
        <v>-5.3091634401032373E-3</v>
      </c>
    </row>
    <row r="643" spans="1:7">
      <c r="A643" s="46">
        <v>340.27</v>
      </c>
      <c r="B643" s="46">
        <v>341.15</v>
      </c>
      <c r="C643" s="46">
        <v>333.33</v>
      </c>
      <c r="D643" s="46">
        <v>333.33</v>
      </c>
      <c r="E643" s="46">
        <v>2036669</v>
      </c>
      <c r="F643" s="46" t="s">
        <v>673</v>
      </c>
      <c r="G643" s="25">
        <f t="shared" si="14"/>
        <v>2.082020820208208E-2</v>
      </c>
    </row>
    <row r="644" spans="1:7">
      <c r="A644" s="46">
        <v>331.29</v>
      </c>
      <c r="B644" s="46">
        <v>332.97</v>
      </c>
      <c r="C644" s="46">
        <v>327.62</v>
      </c>
      <c r="D644" s="46">
        <v>329.99</v>
      </c>
      <c r="E644" s="46">
        <v>2015437</v>
      </c>
      <c r="F644" s="46" t="s">
        <v>674</v>
      </c>
      <c r="G644" s="25">
        <f t="shared" si="14"/>
        <v>3.9395133185855524E-3</v>
      </c>
    </row>
    <row r="645" spans="1:7">
      <c r="A645" s="46">
        <v>330.14</v>
      </c>
      <c r="B645" s="46">
        <v>331.65</v>
      </c>
      <c r="C645" s="46">
        <v>328.02</v>
      </c>
      <c r="D645" s="46">
        <v>328.78</v>
      </c>
      <c r="E645" s="46">
        <v>1166456</v>
      </c>
      <c r="F645" s="46" t="s">
        <v>675</v>
      </c>
      <c r="G645" s="25">
        <f t="shared" si="14"/>
        <v>4.1365046535677408E-3</v>
      </c>
    </row>
    <row r="646" spans="1:7">
      <c r="A646" s="46">
        <v>333.89</v>
      </c>
      <c r="B646" s="46">
        <v>336.27499999999998</v>
      </c>
      <c r="C646" s="46">
        <v>331.44</v>
      </c>
      <c r="D646" s="46">
        <v>334.16</v>
      </c>
      <c r="E646" s="46">
        <v>1048378</v>
      </c>
      <c r="F646" s="46" t="s">
        <v>676</v>
      </c>
      <c r="G646" s="25">
        <f t="shared" si="14"/>
        <v>-8.0799616949978059E-4</v>
      </c>
    </row>
    <row r="647" spans="1:7">
      <c r="A647" s="46">
        <v>336.03</v>
      </c>
      <c r="B647" s="46">
        <v>339.92</v>
      </c>
      <c r="C647" s="46">
        <v>334.25</v>
      </c>
      <c r="D647" s="46">
        <v>339.92</v>
      </c>
      <c r="E647" s="46">
        <v>826034</v>
      </c>
      <c r="F647" s="46" t="s">
        <v>677</v>
      </c>
      <c r="G647" s="25">
        <f t="shared" si="14"/>
        <v>-1.1443869145681518E-2</v>
      </c>
    </row>
    <row r="648" spans="1:7">
      <c r="A648" s="46">
        <v>341.94</v>
      </c>
      <c r="B648" s="46">
        <v>344.08</v>
      </c>
      <c r="C648" s="46">
        <v>340.57</v>
      </c>
      <c r="D648" s="46">
        <v>341.33</v>
      </c>
      <c r="E648" s="46">
        <v>1506104</v>
      </c>
      <c r="F648" s="46" t="s">
        <v>678</v>
      </c>
      <c r="G648" s="25">
        <f t="shared" si="14"/>
        <v>1.7871268274105567E-3</v>
      </c>
    </row>
    <row r="649" spans="1:7">
      <c r="A649" s="46">
        <v>338.49</v>
      </c>
      <c r="B649" s="46">
        <v>340.59</v>
      </c>
      <c r="C649" s="46">
        <v>334.61</v>
      </c>
      <c r="D649" s="46">
        <v>335</v>
      </c>
      <c r="E649" s="46">
        <v>1679348</v>
      </c>
      <c r="F649" s="46" t="s">
        <v>679</v>
      </c>
      <c r="G649" s="25">
        <f t="shared" si="14"/>
        <v>1.0417910447761303E-2</v>
      </c>
    </row>
    <row r="650" spans="1:7">
      <c r="A650" s="46">
        <v>332.98</v>
      </c>
      <c r="B650" s="46">
        <v>334.51</v>
      </c>
      <c r="C650" s="46">
        <v>329.48</v>
      </c>
      <c r="D650" s="46">
        <v>330</v>
      </c>
      <c r="E650" s="46">
        <v>1089029</v>
      </c>
      <c r="F650" s="46" t="s">
        <v>680</v>
      </c>
      <c r="G650" s="25">
        <f t="shared" si="14"/>
        <v>9.0303030303031662E-3</v>
      </c>
    </row>
    <row r="651" spans="1:7">
      <c r="A651" s="46">
        <v>330.02</v>
      </c>
      <c r="B651" s="46">
        <v>330.99</v>
      </c>
      <c r="C651" s="46">
        <v>325.29000000000002</v>
      </c>
      <c r="D651" s="46">
        <v>329.51</v>
      </c>
      <c r="E651" s="46">
        <v>1268247</v>
      </c>
      <c r="F651" s="46" t="s">
        <v>681</v>
      </c>
      <c r="G651" s="25">
        <f t="shared" si="14"/>
        <v>1.5477527237413025E-3</v>
      </c>
    </row>
    <row r="652" spans="1:7">
      <c r="A652" s="46">
        <v>325.16000000000003</v>
      </c>
      <c r="B652" s="46">
        <v>328.43180000000001</v>
      </c>
      <c r="C652" s="46">
        <v>323.23250000000002</v>
      </c>
      <c r="D652" s="46">
        <v>326.60000000000002</v>
      </c>
      <c r="E652" s="46">
        <v>1309314</v>
      </c>
      <c r="F652" s="46" t="s">
        <v>682</v>
      </c>
      <c r="G652" s="25">
        <f t="shared" si="14"/>
        <v>-4.4090630740967196E-3</v>
      </c>
    </row>
    <row r="653" spans="1:7">
      <c r="A653" s="46">
        <v>327.26</v>
      </c>
      <c r="B653" s="46">
        <v>328.67989999999998</v>
      </c>
      <c r="C653" s="46">
        <v>323.72000000000003</v>
      </c>
      <c r="D653" s="46">
        <v>324.70999999999998</v>
      </c>
      <c r="E653" s="46">
        <v>1589159</v>
      </c>
      <c r="F653" s="46" t="s">
        <v>683</v>
      </c>
      <c r="G653" s="25">
        <f t="shared" si="14"/>
        <v>7.8531612823751207E-3</v>
      </c>
    </row>
    <row r="654" spans="1:7">
      <c r="A654" s="46">
        <v>327.61500000000001</v>
      </c>
      <c r="B654" s="46">
        <v>328.28</v>
      </c>
      <c r="C654" s="46">
        <v>322.27999999999997</v>
      </c>
      <c r="D654" s="46">
        <v>323.69</v>
      </c>
      <c r="E654" s="46">
        <v>864439</v>
      </c>
      <c r="F654" s="46" t="s">
        <v>684</v>
      </c>
      <c r="G654" s="25">
        <f t="shared" si="14"/>
        <v>1.2125799375946267E-2</v>
      </c>
    </row>
    <row r="655" spans="1:7">
      <c r="A655" s="46">
        <v>323.74</v>
      </c>
      <c r="B655" s="46">
        <v>327.83</v>
      </c>
      <c r="C655" s="46">
        <v>322.14499999999998</v>
      </c>
      <c r="D655" s="46">
        <v>327.83</v>
      </c>
      <c r="E655" s="46">
        <v>1445352</v>
      </c>
      <c r="F655" s="46" t="s">
        <v>685</v>
      </c>
      <c r="G655" s="25">
        <f t="shared" si="14"/>
        <v>-1.2475978403440724E-2</v>
      </c>
    </row>
    <row r="656" spans="1:7">
      <c r="A656" s="46">
        <v>327.83</v>
      </c>
      <c r="B656" s="46">
        <v>329.68239999999997</v>
      </c>
      <c r="C656" s="46">
        <v>324.065</v>
      </c>
      <c r="D656" s="46">
        <v>328</v>
      </c>
      <c r="E656" s="46">
        <v>1726167</v>
      </c>
      <c r="F656" s="46" t="s">
        <v>686</v>
      </c>
      <c r="G656" s="25">
        <f t="shared" si="14"/>
        <v>-5.18292682926913E-4</v>
      </c>
    </row>
    <row r="657" spans="1:7">
      <c r="A657" s="46">
        <v>329.36</v>
      </c>
      <c r="B657" s="46">
        <v>333.14</v>
      </c>
      <c r="C657" s="46">
        <v>328</v>
      </c>
      <c r="D657" s="46">
        <v>331.69</v>
      </c>
      <c r="E657" s="46">
        <v>3113224</v>
      </c>
      <c r="F657" s="46" t="s">
        <v>687</v>
      </c>
      <c r="G657" s="25">
        <f t="shared" si="14"/>
        <v>-7.024631432964501E-3</v>
      </c>
    </row>
    <row r="658" spans="1:7">
      <c r="A658" s="46">
        <v>328.27</v>
      </c>
      <c r="B658" s="46">
        <v>330.53</v>
      </c>
      <c r="C658" s="46">
        <v>320.45</v>
      </c>
      <c r="D658" s="46">
        <v>322.24</v>
      </c>
      <c r="E658" s="46">
        <v>1783883</v>
      </c>
      <c r="F658" s="46" t="s">
        <v>688</v>
      </c>
      <c r="G658" s="25">
        <f t="shared" si="14"/>
        <v>1.8712760675273055E-2</v>
      </c>
    </row>
    <row r="659" spans="1:7">
      <c r="A659" s="46">
        <v>323.07</v>
      </c>
      <c r="B659" s="46">
        <v>327.41500000000002</v>
      </c>
      <c r="C659" s="46">
        <v>319.25</v>
      </c>
      <c r="D659" s="46">
        <v>323.07</v>
      </c>
      <c r="E659" s="46">
        <v>2142534</v>
      </c>
      <c r="F659" s="46" t="s">
        <v>689</v>
      </c>
      <c r="G659" s="25">
        <f t="shared" si="14"/>
        <v>0</v>
      </c>
    </row>
    <row r="660" spans="1:7">
      <c r="A660" s="46">
        <v>315.45</v>
      </c>
      <c r="B660" s="46">
        <v>316.98</v>
      </c>
      <c r="C660" s="46">
        <v>312.69</v>
      </c>
      <c r="D660" s="46">
        <v>313.47000000000003</v>
      </c>
      <c r="E660" s="46">
        <v>1052757</v>
      </c>
      <c r="F660" s="46" t="s">
        <v>690</v>
      </c>
      <c r="G660" s="25">
        <f t="shared" si="14"/>
        <v>6.3163939132930835E-3</v>
      </c>
    </row>
    <row r="661" spans="1:7">
      <c r="A661" s="46">
        <v>313.64</v>
      </c>
      <c r="B661" s="46">
        <v>316.27999999999997</v>
      </c>
      <c r="C661" s="46">
        <v>312</v>
      </c>
      <c r="D661" s="46">
        <v>313.83</v>
      </c>
      <c r="E661" s="46">
        <v>1470499</v>
      </c>
      <c r="F661" s="46" t="s">
        <v>691</v>
      </c>
      <c r="G661" s="25">
        <f t="shared" si="14"/>
        <v>-6.0542331835711227E-4</v>
      </c>
    </row>
    <row r="662" spans="1:7">
      <c r="A662" s="46">
        <v>312.76</v>
      </c>
      <c r="B662" s="46">
        <v>313.5</v>
      </c>
      <c r="C662" s="46">
        <v>308.61</v>
      </c>
      <c r="D662" s="46">
        <v>310.82</v>
      </c>
      <c r="E662" s="46">
        <v>938699</v>
      </c>
      <c r="F662" s="46" t="s">
        <v>692</v>
      </c>
      <c r="G662" s="25">
        <f t="shared" si="14"/>
        <v>6.2415545975162967E-3</v>
      </c>
    </row>
    <row r="663" spans="1:7">
      <c r="A663" s="46">
        <v>310.82</v>
      </c>
      <c r="B663" s="46">
        <v>311.23</v>
      </c>
      <c r="C663" s="46">
        <v>304.79000000000002</v>
      </c>
      <c r="D663" s="46">
        <v>306.32</v>
      </c>
      <c r="E663" s="46">
        <v>1126663</v>
      </c>
      <c r="F663" s="46" t="s">
        <v>693</v>
      </c>
      <c r="G663" s="25">
        <f t="shared" si="14"/>
        <v>1.4690519717942108E-2</v>
      </c>
    </row>
    <row r="664" spans="1:7">
      <c r="A664" s="46">
        <v>307.24</v>
      </c>
      <c r="B664" s="46">
        <v>314.815</v>
      </c>
      <c r="C664" s="46">
        <v>306.79000000000002</v>
      </c>
      <c r="D664" s="46">
        <v>314.67</v>
      </c>
      <c r="E664" s="46">
        <v>1368698</v>
      </c>
      <c r="F664" s="46" t="s">
        <v>694</v>
      </c>
      <c r="G664" s="25">
        <f t="shared" si="14"/>
        <v>-2.3612038008071989E-2</v>
      </c>
    </row>
    <row r="665" spans="1:7">
      <c r="A665" s="46">
        <v>315.72000000000003</v>
      </c>
      <c r="B665" s="46">
        <v>318.92</v>
      </c>
      <c r="C665" s="46">
        <v>313</v>
      </c>
      <c r="D665" s="46">
        <v>316.89999999999998</v>
      </c>
      <c r="E665" s="46">
        <v>1132856</v>
      </c>
      <c r="F665" s="46" t="s">
        <v>695</v>
      </c>
      <c r="G665" s="25">
        <f t="shared" si="14"/>
        <v>-3.7235721047647052E-3</v>
      </c>
    </row>
    <row r="666" spans="1:7">
      <c r="A666" s="46">
        <v>317.49</v>
      </c>
      <c r="B666" s="46">
        <v>318.62</v>
      </c>
      <c r="C666" s="46">
        <v>310.87009999999998</v>
      </c>
      <c r="D666" s="46">
        <v>311.851</v>
      </c>
      <c r="E666" s="46">
        <v>1514742</v>
      </c>
      <c r="F666" s="46" t="s">
        <v>696</v>
      </c>
      <c r="G666" s="25">
        <f t="shared" si="14"/>
        <v>1.8082353431606801E-2</v>
      </c>
    </row>
    <row r="667" spans="1:7">
      <c r="A667" s="46">
        <v>312.18</v>
      </c>
      <c r="B667" s="46">
        <v>313.47000000000003</v>
      </c>
      <c r="C667" s="46">
        <v>308.82</v>
      </c>
      <c r="D667" s="46">
        <v>310.54000000000002</v>
      </c>
      <c r="E667" s="46">
        <v>1276220</v>
      </c>
      <c r="F667" s="46" t="s">
        <v>697</v>
      </c>
      <c r="G667" s="25">
        <f t="shared" si="14"/>
        <v>5.2811232047400569E-3</v>
      </c>
    </row>
    <row r="668" spans="1:7">
      <c r="A668" s="46">
        <v>310.54000000000002</v>
      </c>
      <c r="B668" s="46">
        <v>311.33</v>
      </c>
      <c r="C668" s="46">
        <v>305.58</v>
      </c>
      <c r="D668" s="46">
        <v>308</v>
      </c>
      <c r="E668" s="46">
        <v>1175644</v>
      </c>
      <c r="F668" s="46" t="s">
        <v>698</v>
      </c>
      <c r="G668" s="25">
        <f t="shared" si="14"/>
        <v>8.2467532467533911E-3</v>
      </c>
    </row>
    <row r="669" spans="1:7">
      <c r="A669" s="46">
        <v>307.83999999999997</v>
      </c>
      <c r="B669" s="46">
        <v>308.26</v>
      </c>
      <c r="C669" s="46">
        <v>300.14</v>
      </c>
      <c r="D669" s="46">
        <v>307</v>
      </c>
      <c r="E669" s="46">
        <v>2454744</v>
      </c>
      <c r="F669" s="46" t="s">
        <v>699</v>
      </c>
      <c r="G669" s="25">
        <f t="shared" si="14"/>
        <v>2.7361563517913634E-3</v>
      </c>
    </row>
    <row r="670" spans="1:7">
      <c r="A670" s="46">
        <v>307.07</v>
      </c>
      <c r="B670" s="46">
        <v>313.13</v>
      </c>
      <c r="C670" s="46">
        <v>305.97000000000003</v>
      </c>
      <c r="D670" s="46">
        <v>308.88</v>
      </c>
      <c r="E670" s="46">
        <v>1804713</v>
      </c>
      <c r="F670" s="46" t="s">
        <v>700</v>
      </c>
      <c r="G670" s="25">
        <f t="shared" si="14"/>
        <v>-5.8598808598808727E-3</v>
      </c>
    </row>
    <row r="671" spans="1:7">
      <c r="A671" s="46">
        <v>306.89999999999998</v>
      </c>
      <c r="B671" s="46">
        <v>307.85500000000002</v>
      </c>
      <c r="C671" s="46">
        <v>302.76</v>
      </c>
      <c r="D671" s="46">
        <v>302.76</v>
      </c>
      <c r="E671" s="46">
        <v>1440697</v>
      </c>
      <c r="F671" s="46" t="s">
        <v>701</v>
      </c>
      <c r="G671" s="25">
        <f t="shared" si="14"/>
        <v>1.3674197384066611E-2</v>
      </c>
    </row>
    <row r="672" spans="1:7">
      <c r="A672" s="46">
        <v>303.77</v>
      </c>
      <c r="B672" s="46">
        <v>305.24</v>
      </c>
      <c r="C672" s="46">
        <v>297.38</v>
      </c>
      <c r="D672" s="46">
        <v>299.95</v>
      </c>
      <c r="E672" s="46">
        <v>1673136</v>
      </c>
      <c r="F672" s="46" t="s">
        <v>702</v>
      </c>
      <c r="G672" s="25">
        <f t="shared" si="14"/>
        <v>1.2735455909318238E-2</v>
      </c>
    </row>
    <row r="673" spans="1:7">
      <c r="A673" s="46">
        <v>302.48</v>
      </c>
      <c r="B673" s="46">
        <v>303.64999999999998</v>
      </c>
      <c r="C673" s="46">
        <v>299.2</v>
      </c>
      <c r="D673" s="46">
        <v>300.01</v>
      </c>
      <c r="E673" s="46">
        <v>1192557</v>
      </c>
      <c r="F673" s="46" t="s">
        <v>703</v>
      </c>
      <c r="G673" s="25">
        <f t="shared" ref="G673:G736" si="15">A673/D673-1</f>
        <v>8.2330588980368269E-3</v>
      </c>
    </row>
    <row r="674" spans="1:7">
      <c r="A674" s="46">
        <v>301.44</v>
      </c>
      <c r="B674" s="46">
        <v>311.91750000000002</v>
      </c>
      <c r="C674" s="46">
        <v>297.8297</v>
      </c>
      <c r="D674" s="46">
        <v>311.23</v>
      </c>
      <c r="E674" s="46">
        <v>1631283</v>
      </c>
      <c r="F674" s="46" t="s">
        <v>704</v>
      </c>
      <c r="G674" s="25">
        <f t="shared" si="15"/>
        <v>-3.145583651961581E-2</v>
      </c>
    </row>
    <row r="675" spans="1:7">
      <c r="A675" s="46">
        <v>313.62</v>
      </c>
      <c r="B675" s="46">
        <v>317.81</v>
      </c>
      <c r="C675" s="46">
        <v>312.57</v>
      </c>
      <c r="D675" s="46">
        <v>312.83</v>
      </c>
      <c r="E675" s="46">
        <v>1046172</v>
      </c>
      <c r="F675" s="46" t="s">
        <v>705</v>
      </c>
      <c r="G675" s="25">
        <f t="shared" si="15"/>
        <v>2.5253332480901225E-3</v>
      </c>
    </row>
    <row r="676" spans="1:7">
      <c r="A676" s="46">
        <v>313.61</v>
      </c>
      <c r="B676" s="46">
        <v>315.19499999999999</v>
      </c>
      <c r="C676" s="46">
        <v>311.42</v>
      </c>
      <c r="D676" s="46">
        <v>313</v>
      </c>
      <c r="E676" s="46">
        <v>1371008</v>
      </c>
      <c r="F676" s="46" t="s">
        <v>706</v>
      </c>
      <c r="G676" s="25">
        <f t="shared" si="15"/>
        <v>1.9488817891373245E-3</v>
      </c>
    </row>
    <row r="677" spans="1:7">
      <c r="A677" s="46">
        <v>312.23</v>
      </c>
      <c r="B677" s="46">
        <v>312.64999999999998</v>
      </c>
      <c r="C677" s="46">
        <v>307.0401</v>
      </c>
      <c r="D677" s="46">
        <v>307.87</v>
      </c>
      <c r="E677" s="46">
        <v>1391837</v>
      </c>
      <c r="F677" s="46" t="s">
        <v>707</v>
      </c>
      <c r="G677" s="25">
        <f t="shared" si="15"/>
        <v>1.4161821548056119E-2</v>
      </c>
    </row>
    <row r="678" spans="1:7">
      <c r="A678" s="46">
        <v>308.22000000000003</v>
      </c>
      <c r="B678" s="46">
        <v>308.77999999999997</v>
      </c>
      <c r="C678" s="46">
        <v>303.95999999999998</v>
      </c>
      <c r="D678" s="46">
        <v>307.51</v>
      </c>
      <c r="E678" s="46">
        <v>1261772</v>
      </c>
      <c r="F678" s="46" t="s">
        <v>708</v>
      </c>
      <c r="G678" s="25">
        <f t="shared" si="15"/>
        <v>2.3088680042926413E-3</v>
      </c>
    </row>
    <row r="679" spans="1:7">
      <c r="A679" s="46">
        <v>306.61</v>
      </c>
      <c r="B679" s="46">
        <v>308.36</v>
      </c>
      <c r="C679" s="46">
        <v>306.10000000000002</v>
      </c>
      <c r="D679" s="46">
        <v>306.67</v>
      </c>
      <c r="E679" s="46">
        <v>811989</v>
      </c>
      <c r="F679" s="46" t="s">
        <v>709</v>
      </c>
      <c r="G679" s="25">
        <f t="shared" si="15"/>
        <v>-1.9565004728205881E-4</v>
      </c>
    </row>
    <row r="680" spans="1:7">
      <c r="A680" s="46">
        <v>308.05</v>
      </c>
      <c r="B680" s="46">
        <v>308.27999999999997</v>
      </c>
      <c r="C680" s="46">
        <v>304.8519</v>
      </c>
      <c r="D680" s="46">
        <v>305.01</v>
      </c>
      <c r="E680" s="46">
        <v>1308705</v>
      </c>
      <c r="F680" s="46" t="s">
        <v>710</v>
      </c>
      <c r="G680" s="25">
        <f t="shared" si="15"/>
        <v>9.9668863315958145E-3</v>
      </c>
    </row>
    <row r="681" spans="1:7">
      <c r="A681" s="46">
        <v>305.27</v>
      </c>
      <c r="B681" s="46">
        <v>305.95</v>
      </c>
      <c r="C681" s="46">
        <v>303.08999999999997</v>
      </c>
      <c r="D681" s="46">
        <v>304.27999999999997</v>
      </c>
      <c r="E681" s="46">
        <v>950388</v>
      </c>
      <c r="F681" s="46" t="s">
        <v>711</v>
      </c>
      <c r="G681" s="25">
        <f t="shared" si="15"/>
        <v>3.2535822268962011E-3</v>
      </c>
    </row>
    <row r="682" spans="1:7">
      <c r="A682" s="46">
        <v>303.47000000000003</v>
      </c>
      <c r="B682" s="46">
        <v>304.19</v>
      </c>
      <c r="C682" s="46">
        <v>300.41000000000003</v>
      </c>
      <c r="D682" s="46">
        <v>302</v>
      </c>
      <c r="E682" s="46">
        <v>1305250</v>
      </c>
      <c r="F682" s="46" t="s">
        <v>712</v>
      </c>
      <c r="G682" s="25">
        <f t="shared" si="15"/>
        <v>4.8675496688743713E-3</v>
      </c>
    </row>
    <row r="683" spans="1:7">
      <c r="A683" s="46">
        <v>302.58999999999997</v>
      </c>
      <c r="B683" s="46">
        <v>304.04989999999998</v>
      </c>
      <c r="C683" s="46">
        <v>300.52999999999997</v>
      </c>
      <c r="D683" s="46">
        <v>303.10000000000002</v>
      </c>
      <c r="E683" s="46">
        <v>1274054</v>
      </c>
      <c r="F683" s="46" t="s">
        <v>713</v>
      </c>
      <c r="G683" s="25">
        <f t="shared" si="15"/>
        <v>-1.6826129990104022E-3</v>
      </c>
    </row>
    <row r="684" spans="1:7">
      <c r="A684" s="46">
        <v>301.55</v>
      </c>
      <c r="B684" s="46">
        <v>303.08</v>
      </c>
      <c r="C684" s="46">
        <v>300.33</v>
      </c>
      <c r="D684" s="46">
        <v>303.08</v>
      </c>
      <c r="E684" s="46">
        <v>1122213</v>
      </c>
      <c r="F684" s="46" t="s">
        <v>714</v>
      </c>
      <c r="G684" s="25">
        <f t="shared" si="15"/>
        <v>-5.0481720997755941E-3</v>
      </c>
    </row>
    <row r="685" spans="1:7">
      <c r="A685" s="46">
        <v>303.08999999999997</v>
      </c>
      <c r="B685" s="46">
        <v>304.60000000000002</v>
      </c>
      <c r="C685" s="46">
        <v>301.01</v>
      </c>
      <c r="D685" s="46">
        <v>304.54000000000002</v>
      </c>
      <c r="E685" s="46">
        <v>1048955</v>
      </c>
      <c r="F685" s="46" t="s">
        <v>715</v>
      </c>
      <c r="G685" s="25">
        <f t="shared" si="15"/>
        <v>-4.7612793064951697E-3</v>
      </c>
    </row>
    <row r="686" spans="1:7">
      <c r="A686" s="46">
        <v>304.88</v>
      </c>
      <c r="B686" s="46">
        <v>305.48</v>
      </c>
      <c r="C686" s="46">
        <v>301.26</v>
      </c>
      <c r="D686" s="46">
        <v>303.33</v>
      </c>
      <c r="E686" s="46">
        <v>1225578</v>
      </c>
      <c r="F686" s="46" t="s">
        <v>716</v>
      </c>
      <c r="G686" s="25">
        <f t="shared" si="15"/>
        <v>5.1099462631458703E-3</v>
      </c>
    </row>
    <row r="687" spans="1:7">
      <c r="A687" s="46">
        <v>303.20999999999998</v>
      </c>
      <c r="B687" s="46">
        <v>304.99</v>
      </c>
      <c r="C687" s="46">
        <v>300.79000000000002</v>
      </c>
      <c r="D687" s="46">
        <v>303.52999999999997</v>
      </c>
      <c r="E687" s="46">
        <v>1402161</v>
      </c>
      <c r="F687" s="46" t="s">
        <v>717</v>
      </c>
      <c r="G687" s="25">
        <f t="shared" si="15"/>
        <v>-1.0542615227490115E-3</v>
      </c>
    </row>
    <row r="688" spans="1:7">
      <c r="A688" s="46">
        <v>305.06</v>
      </c>
      <c r="B688" s="46">
        <v>307.76</v>
      </c>
      <c r="C688" s="46">
        <v>302.24</v>
      </c>
      <c r="D688" s="46">
        <v>302.99</v>
      </c>
      <c r="E688" s="46">
        <v>1522365</v>
      </c>
      <c r="F688" s="46" t="s">
        <v>718</v>
      </c>
      <c r="G688" s="25">
        <f t="shared" si="15"/>
        <v>6.8319086438495269E-3</v>
      </c>
    </row>
    <row r="689" spans="1:7">
      <c r="A689" s="46">
        <v>301.22000000000003</v>
      </c>
      <c r="B689" s="46">
        <v>302.89400000000001</v>
      </c>
      <c r="C689" s="46">
        <v>297.63</v>
      </c>
      <c r="D689" s="46">
        <v>300.70999999999998</v>
      </c>
      <c r="E689" s="46">
        <v>1688444</v>
      </c>
      <c r="F689" s="46" t="s">
        <v>719</v>
      </c>
      <c r="G689" s="25">
        <f t="shared" si="15"/>
        <v>1.695986166073693E-3</v>
      </c>
    </row>
    <row r="690" spans="1:7">
      <c r="A690" s="46">
        <v>303.02</v>
      </c>
      <c r="B690" s="46">
        <v>308.45999999999998</v>
      </c>
      <c r="C690" s="46">
        <v>300.26</v>
      </c>
      <c r="D690" s="46">
        <v>301</v>
      </c>
      <c r="E690" s="46">
        <v>1440458</v>
      </c>
      <c r="F690" s="46" t="s">
        <v>720</v>
      </c>
      <c r="G690" s="25">
        <f t="shared" si="15"/>
        <v>6.7109634551494324E-3</v>
      </c>
    </row>
    <row r="691" spans="1:7">
      <c r="A691" s="46">
        <v>301.22000000000003</v>
      </c>
      <c r="B691" s="46">
        <v>301.57</v>
      </c>
      <c r="C691" s="46">
        <v>296.755</v>
      </c>
      <c r="D691" s="46">
        <v>297.62</v>
      </c>
      <c r="E691" s="46">
        <v>1940778</v>
      </c>
      <c r="F691" s="46" t="s">
        <v>721</v>
      </c>
      <c r="G691" s="25">
        <f t="shared" si="15"/>
        <v>1.2095961292923896E-2</v>
      </c>
    </row>
    <row r="692" spans="1:7">
      <c r="A692" s="46">
        <v>295.92</v>
      </c>
      <c r="B692" s="46">
        <v>296.31</v>
      </c>
      <c r="C692" s="46">
        <v>290.67</v>
      </c>
      <c r="D692" s="46">
        <v>295.41000000000003</v>
      </c>
      <c r="E692" s="46">
        <v>1487111</v>
      </c>
      <c r="F692" s="46" t="s">
        <v>722</v>
      </c>
      <c r="G692" s="25">
        <f t="shared" si="15"/>
        <v>1.7264141362851593E-3</v>
      </c>
    </row>
    <row r="693" spans="1:7">
      <c r="A693" s="46">
        <v>294.95999999999998</v>
      </c>
      <c r="B693" s="46">
        <v>296.95</v>
      </c>
      <c r="C693" s="46">
        <v>291.02</v>
      </c>
      <c r="D693" s="46">
        <v>293.02999999999997</v>
      </c>
      <c r="E693" s="46">
        <v>1649628</v>
      </c>
      <c r="F693" s="46" t="s">
        <v>723</v>
      </c>
      <c r="G693" s="25">
        <f t="shared" si="15"/>
        <v>6.586356345766653E-3</v>
      </c>
    </row>
    <row r="694" spans="1:7">
      <c r="A694" s="46">
        <v>294.97000000000003</v>
      </c>
      <c r="B694" s="46">
        <v>301.57</v>
      </c>
      <c r="C694" s="46">
        <v>292.91000000000003</v>
      </c>
      <c r="D694" s="46">
        <v>299.83</v>
      </c>
      <c r="E694" s="46">
        <v>2431201</v>
      </c>
      <c r="F694" s="46" t="s">
        <v>724</v>
      </c>
      <c r="G694" s="25">
        <f t="shared" si="15"/>
        <v>-1.6209185204949295E-2</v>
      </c>
    </row>
    <row r="695" spans="1:7">
      <c r="A695" s="46">
        <v>300.45999999999998</v>
      </c>
      <c r="B695" s="46">
        <v>303.09989999999999</v>
      </c>
      <c r="C695" s="46">
        <v>297.7269</v>
      </c>
      <c r="D695" s="46">
        <v>299.11</v>
      </c>
      <c r="E695" s="46">
        <v>2154748</v>
      </c>
      <c r="F695" s="46" t="s">
        <v>725</v>
      </c>
      <c r="G695" s="25">
        <f t="shared" si="15"/>
        <v>4.5133897228444297E-3</v>
      </c>
    </row>
    <row r="696" spans="1:7">
      <c r="A696" s="46">
        <v>300.22000000000003</v>
      </c>
      <c r="B696" s="46">
        <v>300.88</v>
      </c>
      <c r="C696" s="46">
        <v>296.5</v>
      </c>
      <c r="D696" s="46">
        <v>297.87</v>
      </c>
      <c r="E696" s="46">
        <v>2180217</v>
      </c>
      <c r="F696" s="46" t="s">
        <v>726</v>
      </c>
      <c r="G696" s="25">
        <f t="shared" si="15"/>
        <v>7.8893477020176572E-3</v>
      </c>
    </row>
    <row r="697" spans="1:7">
      <c r="A697" s="46">
        <v>297.41000000000003</v>
      </c>
      <c r="B697" s="46">
        <v>302.23</v>
      </c>
      <c r="C697" s="46">
        <v>296.76</v>
      </c>
      <c r="D697" s="46">
        <v>298.95999999999998</v>
      </c>
      <c r="E697" s="46">
        <v>2809140</v>
      </c>
      <c r="F697" s="46" t="s">
        <v>727</v>
      </c>
      <c r="G697" s="25">
        <f t="shared" si="15"/>
        <v>-5.1846400856300212E-3</v>
      </c>
    </row>
    <row r="698" spans="1:7">
      <c r="A698" s="46">
        <v>298.57</v>
      </c>
      <c r="B698" s="46">
        <v>304.83999999999997</v>
      </c>
      <c r="C698" s="46">
        <v>292</v>
      </c>
      <c r="D698" s="46">
        <v>292</v>
      </c>
      <c r="E698" s="46">
        <v>6178190</v>
      </c>
      <c r="F698" s="46" t="s">
        <v>728</v>
      </c>
      <c r="G698" s="25">
        <f t="shared" si="15"/>
        <v>2.2499999999999964E-2</v>
      </c>
    </row>
    <row r="699" spans="1:7">
      <c r="A699" s="46">
        <v>269.27999999999997</v>
      </c>
      <c r="B699" s="46">
        <v>270.23</v>
      </c>
      <c r="C699" s="46">
        <v>266.45</v>
      </c>
      <c r="D699" s="46">
        <v>270</v>
      </c>
      <c r="E699" s="46">
        <v>2632769</v>
      </c>
      <c r="F699" s="46" t="s">
        <v>729</v>
      </c>
      <c r="G699" s="25">
        <f t="shared" si="15"/>
        <v>-2.6666666666668171E-3</v>
      </c>
    </row>
    <row r="700" spans="1:7">
      <c r="A700" s="46">
        <v>268.89</v>
      </c>
      <c r="B700" s="46">
        <v>268.94</v>
      </c>
      <c r="C700" s="46">
        <v>265.83</v>
      </c>
      <c r="D700" s="46">
        <v>266.99</v>
      </c>
      <c r="E700" s="46">
        <v>1231080</v>
      </c>
      <c r="F700" s="46" t="s">
        <v>730</v>
      </c>
      <c r="G700" s="25">
        <f t="shared" si="15"/>
        <v>7.1163713996778011E-3</v>
      </c>
    </row>
    <row r="701" spans="1:7">
      <c r="A701" s="46">
        <v>267.02</v>
      </c>
      <c r="B701" s="46">
        <v>268.39999999999998</v>
      </c>
      <c r="C701" s="46">
        <v>264.57</v>
      </c>
      <c r="D701" s="46">
        <v>265.54000000000002</v>
      </c>
      <c r="E701" s="46">
        <v>1319552</v>
      </c>
      <c r="F701" s="46" t="s">
        <v>731</v>
      </c>
      <c r="G701" s="25">
        <f t="shared" si="15"/>
        <v>5.5735482413195037E-3</v>
      </c>
    </row>
    <row r="702" spans="1:7">
      <c r="A702" s="46">
        <v>266.56</v>
      </c>
      <c r="B702" s="46">
        <v>266.7</v>
      </c>
      <c r="C702" s="46">
        <v>262.87</v>
      </c>
      <c r="D702" s="46">
        <v>264</v>
      </c>
      <c r="E702" s="46">
        <v>1444552</v>
      </c>
      <c r="F702" s="46" t="s">
        <v>732</v>
      </c>
      <c r="G702" s="25">
        <f t="shared" si="15"/>
        <v>9.6969696969697594E-3</v>
      </c>
    </row>
    <row r="703" spans="1:7">
      <c r="A703" s="46">
        <v>261.77</v>
      </c>
      <c r="B703" s="46">
        <v>265.89499999999998</v>
      </c>
      <c r="C703" s="46">
        <v>261.42</v>
      </c>
      <c r="D703" s="46">
        <v>265</v>
      </c>
      <c r="E703" s="46">
        <v>1154340</v>
      </c>
      <c r="F703" s="46" t="s">
        <v>733</v>
      </c>
      <c r="G703" s="25">
        <f t="shared" si="15"/>
        <v>-1.2188679245283107E-2</v>
      </c>
    </row>
    <row r="704" spans="1:7">
      <c r="A704" s="46">
        <v>262.77</v>
      </c>
      <c r="B704" s="46">
        <v>263.62</v>
      </c>
      <c r="C704" s="46">
        <v>259.16500000000002</v>
      </c>
      <c r="D704" s="46">
        <v>259.60000000000002</v>
      </c>
      <c r="E704" s="46">
        <v>1620683</v>
      </c>
      <c r="F704" s="46" t="s">
        <v>734</v>
      </c>
      <c r="G704" s="25">
        <f t="shared" si="15"/>
        <v>1.2211093990754929E-2</v>
      </c>
    </row>
    <row r="705" spans="1:7">
      <c r="A705" s="46">
        <v>258.94</v>
      </c>
      <c r="B705" s="46">
        <v>259.11</v>
      </c>
      <c r="C705" s="46">
        <v>252.04</v>
      </c>
      <c r="D705" s="46">
        <v>255.6</v>
      </c>
      <c r="E705" s="46">
        <v>1160895</v>
      </c>
      <c r="F705" s="46" t="s">
        <v>735</v>
      </c>
      <c r="G705" s="25">
        <f t="shared" si="15"/>
        <v>1.3067292644757478E-2</v>
      </c>
    </row>
    <row r="706" spans="1:7">
      <c r="A706" s="46">
        <v>256.89999999999998</v>
      </c>
      <c r="B706" s="46">
        <v>259.33</v>
      </c>
      <c r="C706" s="46">
        <v>255.24</v>
      </c>
      <c r="D706" s="46">
        <v>258.33</v>
      </c>
      <c r="E706" s="46">
        <v>1026602</v>
      </c>
      <c r="F706" s="46" t="s">
        <v>736</v>
      </c>
      <c r="G706" s="25">
        <f t="shared" si="15"/>
        <v>-5.5355552974877265E-3</v>
      </c>
    </row>
    <row r="707" spans="1:7">
      <c r="A707" s="46">
        <v>257.99</v>
      </c>
      <c r="B707" s="46">
        <v>258.89</v>
      </c>
      <c r="C707" s="46">
        <v>253.745</v>
      </c>
      <c r="D707" s="46">
        <v>254.23</v>
      </c>
      <c r="E707" s="46">
        <v>1366398</v>
      </c>
      <c r="F707" s="46" t="s">
        <v>737</v>
      </c>
      <c r="G707" s="25">
        <f t="shared" si="15"/>
        <v>1.4789757306376217E-2</v>
      </c>
    </row>
    <row r="708" spans="1:7">
      <c r="A708" s="46">
        <v>254.71</v>
      </c>
      <c r="B708" s="46">
        <v>256.23</v>
      </c>
      <c r="C708" s="46">
        <v>253.11</v>
      </c>
      <c r="D708" s="46">
        <v>253.58</v>
      </c>
      <c r="E708" s="46">
        <v>1354779</v>
      </c>
      <c r="F708" s="46" t="s">
        <v>738</v>
      </c>
      <c r="G708" s="25">
        <f t="shared" si="15"/>
        <v>4.4561873964823473E-3</v>
      </c>
    </row>
    <row r="709" spans="1:7">
      <c r="A709" s="46">
        <v>253.53</v>
      </c>
      <c r="B709" s="46">
        <v>254.435</v>
      </c>
      <c r="C709" s="46">
        <v>250.01</v>
      </c>
      <c r="D709" s="46">
        <v>254.3</v>
      </c>
      <c r="E709" s="46">
        <v>1554762</v>
      </c>
      <c r="F709" s="46" t="s">
        <v>739</v>
      </c>
      <c r="G709" s="25">
        <f t="shared" si="15"/>
        <v>-3.0279197797876689E-3</v>
      </c>
    </row>
    <row r="710" spans="1:7">
      <c r="A710" s="46">
        <v>255.47</v>
      </c>
      <c r="B710" s="46">
        <v>256.74</v>
      </c>
      <c r="C710" s="46">
        <v>252.0701</v>
      </c>
      <c r="D710" s="46">
        <v>253.22</v>
      </c>
      <c r="E710" s="46">
        <v>1575223</v>
      </c>
      <c r="F710" s="46" t="s">
        <v>740</v>
      </c>
      <c r="G710" s="25">
        <f t="shared" si="15"/>
        <v>8.8855540636600949E-3</v>
      </c>
    </row>
    <row r="711" spans="1:7">
      <c r="A711" s="46">
        <v>251.3</v>
      </c>
      <c r="B711" s="46">
        <v>254.2</v>
      </c>
      <c r="C711" s="46">
        <v>248.29</v>
      </c>
      <c r="D711" s="46">
        <v>254.05</v>
      </c>
      <c r="E711" s="46">
        <v>1908912</v>
      </c>
      <c r="F711" s="46" t="s">
        <v>741</v>
      </c>
      <c r="G711" s="25">
        <f t="shared" si="15"/>
        <v>-1.0824640818736464E-2</v>
      </c>
    </row>
    <row r="712" spans="1:7">
      <c r="A712" s="46">
        <v>250.76</v>
      </c>
      <c r="B712" s="46">
        <v>251.54499999999999</v>
      </c>
      <c r="C712" s="46">
        <v>246.63</v>
      </c>
      <c r="D712" s="46">
        <v>250</v>
      </c>
      <c r="E712" s="46">
        <v>1538323</v>
      </c>
      <c r="F712" s="46" t="s">
        <v>742</v>
      </c>
      <c r="G712" s="25">
        <f t="shared" si="15"/>
        <v>3.0399999999999316E-3</v>
      </c>
    </row>
    <row r="713" spans="1:7">
      <c r="A713" s="46">
        <v>249.49</v>
      </c>
      <c r="B713" s="46">
        <v>253.37</v>
      </c>
      <c r="C713" s="46">
        <v>248.5</v>
      </c>
      <c r="D713" s="46">
        <v>253</v>
      </c>
      <c r="E713" s="46">
        <v>1179536</v>
      </c>
      <c r="F713" s="46" t="s">
        <v>743</v>
      </c>
      <c r="G713" s="25">
        <f t="shared" si="15"/>
        <v>-1.3873517786561207E-2</v>
      </c>
    </row>
    <row r="714" spans="1:7">
      <c r="A714" s="46">
        <v>252.57</v>
      </c>
      <c r="B714" s="46">
        <v>259.02499999999998</v>
      </c>
      <c r="C714" s="46">
        <v>251.88759999999999</v>
      </c>
      <c r="D714" s="46">
        <v>257.51</v>
      </c>
      <c r="E714" s="46">
        <v>1682686</v>
      </c>
      <c r="F714" s="46" t="s">
        <v>744</v>
      </c>
      <c r="G714" s="25">
        <f t="shared" si="15"/>
        <v>-1.9183721020542888E-2</v>
      </c>
    </row>
    <row r="715" spans="1:7">
      <c r="A715" s="46">
        <v>256.42</v>
      </c>
      <c r="B715" s="46">
        <v>257.45999999999998</v>
      </c>
      <c r="C715" s="46">
        <v>248</v>
      </c>
      <c r="D715" s="46">
        <v>248</v>
      </c>
      <c r="E715" s="46">
        <v>3269871</v>
      </c>
      <c r="F715" s="46" t="s">
        <v>745</v>
      </c>
      <c r="G715" s="25">
        <f t="shared" si="15"/>
        <v>3.3951612903225792E-2</v>
      </c>
    </row>
    <row r="716" spans="1:7">
      <c r="A716" s="46">
        <v>244.47</v>
      </c>
      <c r="B716" s="46">
        <v>247.31</v>
      </c>
      <c r="C716" s="46">
        <v>242.29</v>
      </c>
      <c r="D716" s="46">
        <v>244.12</v>
      </c>
      <c r="E716" s="46">
        <v>1735061</v>
      </c>
      <c r="F716" s="46" t="s">
        <v>746</v>
      </c>
      <c r="G716" s="25">
        <f t="shared" si="15"/>
        <v>1.4337211207602341E-3</v>
      </c>
    </row>
    <row r="717" spans="1:7">
      <c r="A717" s="46">
        <v>240.81</v>
      </c>
      <c r="B717" s="46">
        <v>248.28</v>
      </c>
      <c r="C717" s="46">
        <v>240.54</v>
      </c>
      <c r="D717" s="46">
        <v>245.44</v>
      </c>
      <c r="E717" s="46">
        <v>1151808</v>
      </c>
      <c r="F717" s="46" t="s">
        <v>747</v>
      </c>
      <c r="G717" s="25">
        <f t="shared" si="15"/>
        <v>-1.8864080834419816E-2</v>
      </c>
    </row>
    <row r="718" spans="1:7">
      <c r="A718" s="46">
        <v>246.68</v>
      </c>
      <c r="B718" s="46">
        <v>247.37</v>
      </c>
      <c r="C718" s="46">
        <v>242.11500000000001</v>
      </c>
      <c r="D718" s="46">
        <v>242.45</v>
      </c>
      <c r="E718" s="46">
        <v>1560298</v>
      </c>
      <c r="F718" s="46" t="s">
        <v>748</v>
      </c>
      <c r="G718" s="25">
        <f t="shared" si="15"/>
        <v>1.7446896267271583E-2</v>
      </c>
    </row>
    <row r="719" spans="1:7">
      <c r="A719" s="46">
        <v>240.5</v>
      </c>
      <c r="B719" s="46">
        <v>242.03</v>
      </c>
      <c r="C719" s="46">
        <v>237.58</v>
      </c>
      <c r="D719" s="46">
        <v>238.12</v>
      </c>
      <c r="E719" s="46">
        <v>995530</v>
      </c>
      <c r="F719" s="46" t="s">
        <v>749</v>
      </c>
      <c r="G719" s="25">
        <f t="shared" si="15"/>
        <v>9.9949605241054229E-3</v>
      </c>
    </row>
    <row r="720" spans="1:7">
      <c r="A720" s="46">
        <v>237.8</v>
      </c>
      <c r="B720" s="46">
        <v>242</v>
      </c>
      <c r="C720" s="46">
        <v>236.26</v>
      </c>
      <c r="D720" s="46">
        <v>240.39</v>
      </c>
      <c r="E720" s="46">
        <v>2304603</v>
      </c>
      <c r="F720" s="46" t="s">
        <v>750</v>
      </c>
      <c r="G720" s="25">
        <f t="shared" si="15"/>
        <v>-1.07741586588459E-2</v>
      </c>
    </row>
    <row r="721" spans="1:7">
      <c r="A721" s="46">
        <v>240.5</v>
      </c>
      <c r="B721" s="46">
        <v>242.37</v>
      </c>
      <c r="C721" s="46">
        <v>231.5</v>
      </c>
      <c r="D721" s="46">
        <v>232.59</v>
      </c>
      <c r="E721" s="46">
        <v>2072127</v>
      </c>
      <c r="F721" s="46" t="s">
        <v>751</v>
      </c>
      <c r="G721" s="25">
        <f t="shared" si="15"/>
        <v>3.4008340857302644E-2</v>
      </c>
    </row>
    <row r="722" spans="1:7">
      <c r="A722" s="46">
        <v>234.18</v>
      </c>
      <c r="B722" s="46">
        <v>235.81</v>
      </c>
      <c r="C722" s="46">
        <v>229.72</v>
      </c>
      <c r="D722" s="46">
        <v>232.01</v>
      </c>
      <c r="E722" s="46">
        <v>1594099</v>
      </c>
      <c r="F722" s="46" t="s">
        <v>752</v>
      </c>
      <c r="G722" s="25">
        <f t="shared" si="15"/>
        <v>9.3530451273653448E-3</v>
      </c>
    </row>
    <row r="723" spans="1:7">
      <c r="A723" s="46">
        <v>235.28</v>
      </c>
      <c r="B723" s="46">
        <v>235.62</v>
      </c>
      <c r="C723" s="46">
        <v>231.17</v>
      </c>
      <c r="D723" s="46">
        <v>232.54</v>
      </c>
      <c r="E723" s="46">
        <v>2109659</v>
      </c>
      <c r="F723" s="46" t="s">
        <v>753</v>
      </c>
      <c r="G723" s="25">
        <f t="shared" si="15"/>
        <v>1.1782919067687248E-2</v>
      </c>
    </row>
    <row r="724" spans="1:7">
      <c r="A724" s="46">
        <v>227.78</v>
      </c>
      <c r="B724" s="46">
        <v>232.45</v>
      </c>
      <c r="C724" s="46">
        <v>222.65</v>
      </c>
      <c r="D724" s="46">
        <v>224</v>
      </c>
      <c r="E724" s="46">
        <v>1539277</v>
      </c>
      <c r="F724" s="46" t="s">
        <v>754</v>
      </c>
      <c r="G724" s="25">
        <f t="shared" si="15"/>
        <v>1.6874999999999973E-2</v>
      </c>
    </row>
    <row r="725" spans="1:7">
      <c r="A725" s="46">
        <v>224.75</v>
      </c>
      <c r="B725" s="46">
        <v>229.76</v>
      </c>
      <c r="C725" s="46">
        <v>223.39</v>
      </c>
      <c r="D725" s="46">
        <v>228.77</v>
      </c>
      <c r="E725" s="46">
        <v>1778632</v>
      </c>
      <c r="F725" s="46" t="s">
        <v>755</v>
      </c>
      <c r="G725" s="25">
        <f t="shared" si="15"/>
        <v>-1.7572234121606911E-2</v>
      </c>
    </row>
    <row r="726" spans="1:7">
      <c r="A726" s="46">
        <v>228.57</v>
      </c>
      <c r="B726" s="46">
        <v>235.26</v>
      </c>
      <c r="C726" s="46">
        <v>228.18</v>
      </c>
      <c r="D726" s="46">
        <v>232.73</v>
      </c>
      <c r="E726" s="46">
        <v>1181781</v>
      </c>
      <c r="F726" s="46" t="s">
        <v>756</v>
      </c>
      <c r="G726" s="25">
        <f t="shared" si="15"/>
        <v>-1.7874790529798457E-2</v>
      </c>
    </row>
    <row r="727" spans="1:7">
      <c r="A727" s="46">
        <v>231.09</v>
      </c>
      <c r="B727" s="46">
        <v>231.70840000000001</v>
      </c>
      <c r="C727" s="46">
        <v>227.96</v>
      </c>
      <c r="D727" s="46">
        <v>230</v>
      </c>
      <c r="E727" s="46">
        <v>661804</v>
      </c>
      <c r="F727" s="46" t="s">
        <v>757</v>
      </c>
      <c r="G727" s="25">
        <f t="shared" si="15"/>
        <v>4.7391304347825791E-3</v>
      </c>
    </row>
    <row r="728" spans="1:7">
      <c r="A728" s="46">
        <v>230.71</v>
      </c>
      <c r="B728" s="46">
        <v>236.14</v>
      </c>
      <c r="C728" s="46">
        <v>229.42</v>
      </c>
      <c r="D728" s="46">
        <v>235.42</v>
      </c>
      <c r="E728" s="46">
        <v>1680628</v>
      </c>
      <c r="F728" s="46" t="s">
        <v>758</v>
      </c>
      <c r="G728" s="25">
        <f t="shared" si="15"/>
        <v>-2.0006796363945201E-2</v>
      </c>
    </row>
    <row r="729" spans="1:7">
      <c r="A729" s="46">
        <v>234.85</v>
      </c>
      <c r="B729" s="46">
        <v>236.7791</v>
      </c>
      <c r="C729" s="46">
        <v>233.04</v>
      </c>
      <c r="D729" s="46">
        <v>233.59</v>
      </c>
      <c r="E729" s="46">
        <v>1204946</v>
      </c>
      <c r="F729" s="46" t="s">
        <v>759</v>
      </c>
      <c r="G729" s="25">
        <f t="shared" si="15"/>
        <v>5.3940665268203958E-3</v>
      </c>
    </row>
    <row r="730" spans="1:7">
      <c r="A730" s="46">
        <v>234.87</v>
      </c>
      <c r="B730" s="46">
        <v>235.2</v>
      </c>
      <c r="C730" s="46">
        <v>229.29</v>
      </c>
      <c r="D730" s="46">
        <v>230.48</v>
      </c>
      <c r="E730" s="46">
        <v>1458455</v>
      </c>
      <c r="F730" s="46" t="s">
        <v>760</v>
      </c>
      <c r="G730" s="25">
        <f t="shared" si="15"/>
        <v>1.90472058313087E-2</v>
      </c>
    </row>
    <row r="731" spans="1:7">
      <c r="A731" s="46">
        <v>228.9</v>
      </c>
      <c r="B731" s="46">
        <v>229.41</v>
      </c>
      <c r="C731" s="46">
        <v>224.48</v>
      </c>
      <c r="D731" s="46">
        <v>226.07</v>
      </c>
      <c r="E731" s="46">
        <v>1153045</v>
      </c>
      <c r="F731" s="46" t="s">
        <v>761</v>
      </c>
      <c r="G731" s="25">
        <f t="shared" si="15"/>
        <v>1.2518246560799806E-2</v>
      </c>
    </row>
    <row r="732" spans="1:7">
      <c r="A732" s="46">
        <v>227.33</v>
      </c>
      <c r="B732" s="46">
        <v>229.29</v>
      </c>
      <c r="C732" s="46">
        <v>226.28</v>
      </c>
      <c r="D732" s="46">
        <v>228.47</v>
      </c>
      <c r="E732" s="46">
        <v>1290780</v>
      </c>
      <c r="F732" s="46" t="s">
        <v>762</v>
      </c>
      <c r="G732" s="25">
        <f t="shared" si="15"/>
        <v>-4.9897141856698468E-3</v>
      </c>
    </row>
    <row r="733" spans="1:7">
      <c r="A733" s="46">
        <v>229.39</v>
      </c>
      <c r="B733" s="46">
        <v>231.739</v>
      </c>
      <c r="C733" s="46">
        <v>228.74</v>
      </c>
      <c r="D733" s="46">
        <v>230.74</v>
      </c>
      <c r="E733" s="46">
        <v>1366842</v>
      </c>
      <c r="F733" s="46" t="s">
        <v>763</v>
      </c>
      <c r="G733" s="25">
        <f t="shared" si="15"/>
        <v>-5.8507410938719584E-3</v>
      </c>
    </row>
    <row r="734" spans="1:7">
      <c r="A734" s="46">
        <v>231.74</v>
      </c>
      <c r="B734" s="46">
        <v>233.96</v>
      </c>
      <c r="C734" s="46">
        <v>231</v>
      </c>
      <c r="D734" s="46">
        <v>233.96</v>
      </c>
      <c r="E734" s="46">
        <v>1421595</v>
      </c>
      <c r="F734" s="46" t="s">
        <v>764</v>
      </c>
      <c r="G734" s="25">
        <f t="shared" si="15"/>
        <v>-9.4888015045306862E-3</v>
      </c>
    </row>
    <row r="735" spans="1:7">
      <c r="A735" s="46">
        <v>231.05</v>
      </c>
      <c r="B735" s="46">
        <v>232.39</v>
      </c>
      <c r="C735" s="46">
        <v>229.0401</v>
      </c>
      <c r="D735" s="46">
        <v>230.61</v>
      </c>
      <c r="E735" s="46">
        <v>1417087</v>
      </c>
      <c r="F735" s="46" t="s">
        <v>765</v>
      </c>
      <c r="G735" s="25">
        <f t="shared" si="15"/>
        <v>1.9079831750574705E-3</v>
      </c>
    </row>
    <row r="736" spans="1:7">
      <c r="A736" s="46">
        <v>234.9</v>
      </c>
      <c r="B736" s="46">
        <v>235.82</v>
      </c>
      <c r="C736" s="46">
        <v>231.93</v>
      </c>
      <c r="D736" s="46">
        <v>234.85</v>
      </c>
      <c r="E736" s="46">
        <v>1427234</v>
      </c>
      <c r="F736" s="46" t="s">
        <v>766</v>
      </c>
      <c r="G736" s="25">
        <f t="shared" si="15"/>
        <v>2.1290185224609459E-4</v>
      </c>
    </row>
    <row r="737" spans="1:7">
      <c r="A737" s="46">
        <v>233.55</v>
      </c>
      <c r="B737" s="46">
        <v>236.49</v>
      </c>
      <c r="C737" s="46">
        <v>232.96</v>
      </c>
      <c r="D737" s="46">
        <v>233.88</v>
      </c>
      <c r="E737" s="46">
        <v>1456154</v>
      </c>
      <c r="F737" s="46" t="s">
        <v>767</v>
      </c>
      <c r="G737" s="25">
        <f t="shared" ref="G737:G800" si="16">A737/D737-1</f>
        <v>-1.4109799897382702E-3</v>
      </c>
    </row>
    <row r="738" spans="1:7">
      <c r="A738" s="46">
        <v>233.58</v>
      </c>
      <c r="B738" s="46">
        <v>236.98</v>
      </c>
      <c r="C738" s="46">
        <v>232.87</v>
      </c>
      <c r="D738" s="46">
        <v>236.55</v>
      </c>
      <c r="E738" s="46">
        <v>1852188</v>
      </c>
      <c r="F738" s="46" t="s">
        <v>768</v>
      </c>
      <c r="G738" s="25">
        <f t="shared" si="16"/>
        <v>-1.2555485098287855E-2</v>
      </c>
    </row>
    <row r="739" spans="1:7">
      <c r="A739" s="46">
        <v>238.91</v>
      </c>
      <c r="B739" s="46">
        <v>240.01499999999999</v>
      </c>
      <c r="C739" s="46">
        <v>236.61</v>
      </c>
      <c r="D739" s="46">
        <v>238.95</v>
      </c>
      <c r="E739" s="46">
        <v>1595736</v>
      </c>
      <c r="F739" s="46" t="s">
        <v>769</v>
      </c>
      <c r="G739" s="25">
        <f t="shared" si="16"/>
        <v>-1.6739903745555118E-4</v>
      </c>
    </row>
    <row r="740" spans="1:7">
      <c r="A740" s="46">
        <v>240.16</v>
      </c>
      <c r="B740" s="46">
        <v>244.06</v>
      </c>
      <c r="C740" s="46">
        <v>238.54</v>
      </c>
      <c r="D740" s="46">
        <v>240.77</v>
      </c>
      <c r="E740" s="46">
        <v>1615338</v>
      </c>
      <c r="F740" s="46" t="s">
        <v>770</v>
      </c>
      <c r="G740" s="25">
        <f t="shared" si="16"/>
        <v>-2.5335382315072597E-3</v>
      </c>
    </row>
    <row r="741" spans="1:7">
      <c r="A741" s="46">
        <v>244.77</v>
      </c>
      <c r="B741" s="46">
        <v>245.5</v>
      </c>
      <c r="C741" s="46">
        <v>239.1</v>
      </c>
      <c r="D741" s="46">
        <v>239.75</v>
      </c>
      <c r="E741" s="46">
        <v>1341372</v>
      </c>
      <c r="F741" s="46" t="s">
        <v>771</v>
      </c>
      <c r="G741" s="25">
        <f t="shared" si="16"/>
        <v>2.0938477580813464E-2</v>
      </c>
    </row>
    <row r="742" spans="1:7">
      <c r="A742" s="46">
        <v>241.09</v>
      </c>
      <c r="B742" s="46">
        <v>245.66</v>
      </c>
      <c r="C742" s="46">
        <v>239.67</v>
      </c>
      <c r="D742" s="46">
        <v>243.42</v>
      </c>
      <c r="E742" s="46">
        <v>1799218</v>
      </c>
      <c r="F742" s="46" t="s">
        <v>772</v>
      </c>
      <c r="G742" s="25">
        <f t="shared" si="16"/>
        <v>-9.5719332840357163E-3</v>
      </c>
    </row>
    <row r="743" spans="1:7">
      <c r="A743" s="46">
        <v>245.13</v>
      </c>
      <c r="B743" s="46">
        <v>246.54</v>
      </c>
      <c r="C743" s="46">
        <v>244.74</v>
      </c>
      <c r="D743" s="46">
        <v>246.09</v>
      </c>
      <c r="E743" s="46">
        <v>1277001</v>
      </c>
      <c r="F743" s="46" t="s">
        <v>773</v>
      </c>
      <c r="G743" s="25">
        <f t="shared" si="16"/>
        <v>-3.9010118249421799E-3</v>
      </c>
    </row>
    <row r="744" spans="1:7">
      <c r="A744" s="46">
        <v>245.27</v>
      </c>
      <c r="B744" s="46">
        <v>246.53</v>
      </c>
      <c r="C744" s="46">
        <v>242.6</v>
      </c>
      <c r="D744" s="46">
        <v>242.91</v>
      </c>
      <c r="E744" s="46">
        <v>1199572</v>
      </c>
      <c r="F744" s="46" t="s">
        <v>774</v>
      </c>
      <c r="G744" s="25">
        <f t="shared" si="16"/>
        <v>9.715532501749724E-3</v>
      </c>
    </row>
    <row r="745" spans="1:7">
      <c r="A745" s="46">
        <v>244.18</v>
      </c>
      <c r="B745" s="46">
        <v>251.07</v>
      </c>
      <c r="C745" s="46">
        <v>243.65</v>
      </c>
      <c r="D745" s="46">
        <v>250.52</v>
      </c>
      <c r="E745" s="46">
        <v>1425884</v>
      </c>
      <c r="F745" s="46" t="s">
        <v>775</v>
      </c>
      <c r="G745" s="25">
        <f t="shared" si="16"/>
        <v>-2.5307360689765246E-2</v>
      </c>
    </row>
    <row r="746" spans="1:7">
      <c r="A746" s="46">
        <v>248.85</v>
      </c>
      <c r="B746" s="46">
        <v>253.23</v>
      </c>
      <c r="C746" s="46">
        <v>248.2</v>
      </c>
      <c r="D746" s="46">
        <v>249.15</v>
      </c>
      <c r="E746" s="46">
        <v>1318947</v>
      </c>
      <c r="F746" s="46" t="s">
        <v>776</v>
      </c>
      <c r="G746" s="25">
        <f t="shared" si="16"/>
        <v>-1.2040939193257438E-3</v>
      </c>
    </row>
    <row r="747" spans="1:7">
      <c r="A747" s="46">
        <v>253.06</v>
      </c>
      <c r="B747" s="46">
        <v>254.55</v>
      </c>
      <c r="C747" s="46">
        <v>246.89500000000001</v>
      </c>
      <c r="D747" s="46">
        <v>247.81</v>
      </c>
      <c r="E747" s="46">
        <v>1359638</v>
      </c>
      <c r="F747" s="46" t="s">
        <v>777</v>
      </c>
      <c r="G747" s="25">
        <f t="shared" si="16"/>
        <v>2.1185585731003487E-2</v>
      </c>
    </row>
    <row r="748" spans="1:7">
      <c r="A748" s="46">
        <v>248.98</v>
      </c>
      <c r="B748" s="46">
        <v>252.97</v>
      </c>
      <c r="C748" s="46">
        <v>248.24</v>
      </c>
      <c r="D748" s="46">
        <v>251.76</v>
      </c>
      <c r="E748" s="46">
        <v>1329176</v>
      </c>
      <c r="F748" s="46" t="s">
        <v>778</v>
      </c>
      <c r="G748" s="25">
        <f t="shared" si="16"/>
        <v>-1.1042262472195752E-2</v>
      </c>
    </row>
    <row r="749" spans="1:7">
      <c r="A749" s="46">
        <v>254.68</v>
      </c>
      <c r="B749" s="46">
        <v>260.5</v>
      </c>
      <c r="C749" s="46">
        <v>252.93</v>
      </c>
      <c r="D749" s="46">
        <v>257.81</v>
      </c>
      <c r="E749" s="46">
        <v>1691448</v>
      </c>
      <c r="F749" s="46" t="s">
        <v>779</v>
      </c>
      <c r="G749" s="25">
        <f t="shared" si="16"/>
        <v>-1.2140723788836683E-2</v>
      </c>
    </row>
    <row r="750" spans="1:7">
      <c r="A750" s="46">
        <v>260.89999999999998</v>
      </c>
      <c r="B750" s="46">
        <v>261.95</v>
      </c>
      <c r="C750" s="46">
        <v>252.88</v>
      </c>
      <c r="D750" s="46">
        <v>253.85</v>
      </c>
      <c r="E750" s="46">
        <v>2197290</v>
      </c>
      <c r="F750" s="46" t="s">
        <v>780</v>
      </c>
      <c r="G750" s="25">
        <f t="shared" si="16"/>
        <v>2.7772306480204678E-2</v>
      </c>
    </row>
    <row r="751" spans="1:7">
      <c r="A751" s="46">
        <v>251.19</v>
      </c>
      <c r="B751" s="46">
        <v>253.54</v>
      </c>
      <c r="C751" s="46">
        <v>244.66</v>
      </c>
      <c r="D751" s="46">
        <v>246.8</v>
      </c>
      <c r="E751" s="46">
        <v>1646575</v>
      </c>
      <c r="F751" s="46" t="s">
        <v>781</v>
      </c>
      <c r="G751" s="25">
        <f t="shared" si="16"/>
        <v>1.7787682333873622E-2</v>
      </c>
    </row>
    <row r="752" spans="1:7">
      <c r="A752" s="46">
        <v>245.69</v>
      </c>
      <c r="B752" s="46">
        <v>245.73</v>
      </c>
      <c r="C752" s="46">
        <v>241.19</v>
      </c>
      <c r="D752" s="46">
        <v>243.2</v>
      </c>
      <c r="E752" s="46">
        <v>1782630</v>
      </c>
      <c r="F752" s="46" t="s">
        <v>782</v>
      </c>
      <c r="G752" s="25">
        <f t="shared" si="16"/>
        <v>1.0238486842105265E-2</v>
      </c>
    </row>
    <row r="753" spans="1:7">
      <c r="A753" s="46">
        <v>242.23</v>
      </c>
      <c r="B753" s="46">
        <v>246.80850000000001</v>
      </c>
      <c r="C753" s="46">
        <v>241.98</v>
      </c>
      <c r="D753" s="46">
        <v>245</v>
      </c>
      <c r="E753" s="46">
        <v>1642957</v>
      </c>
      <c r="F753" s="46" t="s">
        <v>783</v>
      </c>
      <c r="G753" s="25">
        <f t="shared" si="16"/>
        <v>-1.1306122448979661E-2</v>
      </c>
    </row>
    <row r="754" spans="1:7">
      <c r="A754" s="46">
        <v>247.26</v>
      </c>
      <c r="B754" s="46">
        <v>250.21</v>
      </c>
      <c r="C754" s="46">
        <v>246.89</v>
      </c>
      <c r="D754" s="46">
        <v>248.58</v>
      </c>
      <c r="E754" s="46">
        <v>1568605</v>
      </c>
      <c r="F754" s="46" t="s">
        <v>784</v>
      </c>
      <c r="G754" s="25">
        <f t="shared" si="16"/>
        <v>-5.310161718561468E-3</v>
      </c>
    </row>
    <row r="755" spans="1:7">
      <c r="A755" s="46">
        <v>250.55</v>
      </c>
      <c r="B755" s="46">
        <v>250.82</v>
      </c>
      <c r="C755" s="46">
        <v>243.5</v>
      </c>
      <c r="D755" s="46">
        <v>246.48</v>
      </c>
      <c r="E755" s="46">
        <v>1788514</v>
      </c>
      <c r="F755" s="46" t="s">
        <v>785</v>
      </c>
      <c r="G755" s="25">
        <f t="shared" si="16"/>
        <v>1.6512495942875738E-2</v>
      </c>
    </row>
    <row r="756" spans="1:7">
      <c r="A756" s="46">
        <v>243.8</v>
      </c>
      <c r="B756" s="46">
        <v>247</v>
      </c>
      <c r="C756" s="46">
        <v>238.84</v>
      </c>
      <c r="D756" s="46">
        <v>241.09</v>
      </c>
      <c r="E756" s="46">
        <v>5863584</v>
      </c>
      <c r="F756" s="46" t="s">
        <v>786</v>
      </c>
      <c r="G756" s="25">
        <f t="shared" si="16"/>
        <v>1.1240615537766008E-2</v>
      </c>
    </row>
    <row r="757" spans="1:7">
      <c r="A757" s="46">
        <v>257.98</v>
      </c>
      <c r="B757" s="46">
        <v>259.40499999999997</v>
      </c>
      <c r="C757" s="46">
        <v>254.23</v>
      </c>
      <c r="D757" s="46">
        <v>254.6</v>
      </c>
      <c r="E757" s="46">
        <v>3127241</v>
      </c>
      <c r="F757" s="46" t="s">
        <v>787</v>
      </c>
      <c r="G757" s="25">
        <f t="shared" si="16"/>
        <v>1.3275726630007867E-2</v>
      </c>
    </row>
    <row r="758" spans="1:7">
      <c r="A758" s="46">
        <v>255.98</v>
      </c>
      <c r="B758" s="46">
        <v>257.87</v>
      </c>
      <c r="C758" s="46">
        <v>254.01</v>
      </c>
      <c r="D758" s="46">
        <v>256.77</v>
      </c>
      <c r="E758" s="46">
        <v>2008569</v>
      </c>
      <c r="F758" s="46" t="s">
        <v>788</v>
      </c>
      <c r="G758" s="25">
        <f t="shared" si="16"/>
        <v>-3.0766834131712439E-3</v>
      </c>
    </row>
    <row r="759" spans="1:7">
      <c r="A759" s="46">
        <v>256.77</v>
      </c>
      <c r="B759" s="46">
        <v>256.83999999999997</v>
      </c>
      <c r="C759" s="46">
        <v>248.96</v>
      </c>
      <c r="D759" s="46">
        <v>252.44</v>
      </c>
      <c r="E759" s="46">
        <v>1968527</v>
      </c>
      <c r="F759" s="46" t="s">
        <v>789</v>
      </c>
      <c r="G759" s="25">
        <f t="shared" si="16"/>
        <v>1.7152590714625271E-2</v>
      </c>
    </row>
    <row r="760" spans="1:7">
      <c r="A760" s="46">
        <v>252.5</v>
      </c>
      <c r="B760" s="46">
        <v>255.67500000000001</v>
      </c>
      <c r="C760" s="46">
        <v>250.62</v>
      </c>
      <c r="D760" s="46">
        <v>254.84</v>
      </c>
      <c r="E760" s="46">
        <v>1758537</v>
      </c>
      <c r="F760" s="46" t="s">
        <v>790</v>
      </c>
      <c r="G760" s="25">
        <f t="shared" si="16"/>
        <v>-9.1822319886988302E-3</v>
      </c>
    </row>
    <row r="761" spans="1:7">
      <c r="A761" s="46">
        <v>256.35000000000002</v>
      </c>
      <c r="B761" s="46">
        <v>264.89</v>
      </c>
      <c r="C761" s="46">
        <v>255.61</v>
      </c>
      <c r="D761" s="46">
        <v>261.57</v>
      </c>
      <c r="E761" s="46">
        <v>1641591</v>
      </c>
      <c r="F761" s="46" t="s">
        <v>791</v>
      </c>
      <c r="G761" s="25">
        <f t="shared" si="16"/>
        <v>-1.9956417020300377E-2</v>
      </c>
    </row>
    <row r="762" spans="1:7">
      <c r="A762" s="46">
        <v>261.73</v>
      </c>
      <c r="B762" s="46">
        <v>261.97000000000003</v>
      </c>
      <c r="C762" s="46">
        <v>254.86</v>
      </c>
      <c r="D762" s="46">
        <v>258.48</v>
      </c>
      <c r="E762" s="46">
        <v>1595346</v>
      </c>
      <c r="F762" s="46" t="s">
        <v>792</v>
      </c>
      <c r="G762" s="25">
        <f t="shared" si="16"/>
        <v>1.2573506654286692E-2</v>
      </c>
    </row>
    <row r="763" spans="1:7">
      <c r="A763" s="46">
        <v>258.89999999999998</v>
      </c>
      <c r="B763" s="46">
        <v>259.8</v>
      </c>
      <c r="C763" s="46">
        <v>253.77010000000001</v>
      </c>
      <c r="D763" s="46">
        <v>255.4</v>
      </c>
      <c r="E763" s="46">
        <v>1716105</v>
      </c>
      <c r="F763" s="46" t="s">
        <v>793</v>
      </c>
      <c r="G763" s="25">
        <f t="shared" si="16"/>
        <v>1.3703993735316944E-2</v>
      </c>
    </row>
    <row r="764" spans="1:7">
      <c r="A764" s="46">
        <v>256.94</v>
      </c>
      <c r="B764" s="46">
        <v>260.35000000000002</v>
      </c>
      <c r="C764" s="46">
        <v>254.98</v>
      </c>
      <c r="D764" s="46">
        <v>258.74</v>
      </c>
      <c r="E764" s="46">
        <v>1925139</v>
      </c>
      <c r="F764" s="46" t="s">
        <v>794</v>
      </c>
      <c r="G764" s="25">
        <f t="shared" si="16"/>
        <v>-6.9567906006029467E-3</v>
      </c>
    </row>
    <row r="765" spans="1:7">
      <c r="A765" s="46">
        <v>259.95999999999998</v>
      </c>
      <c r="B765" s="46">
        <v>265.49</v>
      </c>
      <c r="C765" s="46">
        <v>254.56</v>
      </c>
      <c r="D765" s="46">
        <v>261.39</v>
      </c>
      <c r="E765" s="46">
        <v>3506758</v>
      </c>
      <c r="F765" s="46" t="s">
        <v>795</v>
      </c>
      <c r="G765" s="25">
        <f t="shared" si="16"/>
        <v>-5.4707525153985248E-3</v>
      </c>
    </row>
    <row r="766" spans="1:7">
      <c r="A766" s="46">
        <v>271.36</v>
      </c>
      <c r="B766" s="46">
        <v>271.41000000000003</v>
      </c>
      <c r="C766" s="46">
        <v>263.33</v>
      </c>
      <c r="D766" s="46">
        <v>263.33</v>
      </c>
      <c r="E766" s="46">
        <v>1316962</v>
      </c>
      <c r="F766" s="46" t="s">
        <v>796</v>
      </c>
      <c r="G766" s="25">
        <f t="shared" si="16"/>
        <v>3.0494056886796184E-2</v>
      </c>
    </row>
    <row r="767" spans="1:7">
      <c r="A767" s="46">
        <v>264.93</v>
      </c>
      <c r="B767" s="46">
        <v>273.58</v>
      </c>
      <c r="C767" s="46">
        <v>264.20999999999998</v>
      </c>
      <c r="D767" s="46">
        <v>272.58999999999997</v>
      </c>
      <c r="E767" s="46">
        <v>1509131</v>
      </c>
      <c r="F767" s="46" t="s">
        <v>797</v>
      </c>
      <c r="G767" s="25">
        <f t="shared" si="16"/>
        <v>-2.8100810741406357E-2</v>
      </c>
    </row>
    <row r="768" spans="1:7">
      <c r="A768" s="46">
        <v>270.39</v>
      </c>
      <c r="B768" s="46">
        <v>273.39999999999998</v>
      </c>
      <c r="C768" s="46">
        <v>264.68</v>
      </c>
      <c r="D768" s="46">
        <v>271.17</v>
      </c>
      <c r="E768" s="46">
        <v>1659514</v>
      </c>
      <c r="F768" s="46" t="s">
        <v>798</v>
      </c>
      <c r="G768" s="25">
        <f t="shared" si="16"/>
        <v>-2.8764243832283265E-3</v>
      </c>
    </row>
    <row r="769" spans="1:7">
      <c r="A769" s="46">
        <v>268.62</v>
      </c>
      <c r="B769" s="46">
        <v>271.87</v>
      </c>
      <c r="C769" s="46">
        <v>266.51</v>
      </c>
      <c r="D769" s="46">
        <v>267.69</v>
      </c>
      <c r="E769" s="46">
        <v>1803880</v>
      </c>
      <c r="F769" s="46" t="s">
        <v>799</v>
      </c>
      <c r="G769" s="25">
        <f t="shared" si="16"/>
        <v>3.474167880757717E-3</v>
      </c>
    </row>
    <row r="770" spans="1:7">
      <c r="A770" s="46">
        <v>270</v>
      </c>
      <c r="B770" s="46">
        <v>271.01</v>
      </c>
      <c r="C770" s="46">
        <v>266.83999999999997</v>
      </c>
      <c r="D770" s="46">
        <v>269.36</v>
      </c>
      <c r="E770" s="46">
        <v>1435393</v>
      </c>
      <c r="F770" s="46" t="s">
        <v>800</v>
      </c>
      <c r="G770" s="25">
        <f t="shared" si="16"/>
        <v>2.3760023760022175E-3</v>
      </c>
    </row>
    <row r="771" spans="1:7">
      <c r="A771" s="46">
        <v>265.63</v>
      </c>
      <c r="B771" s="46">
        <v>270.89</v>
      </c>
      <c r="C771" s="46">
        <v>263.67</v>
      </c>
      <c r="D771" s="46">
        <v>269.58999999999997</v>
      </c>
      <c r="E771" s="46">
        <v>1391916</v>
      </c>
      <c r="F771" s="46" t="s">
        <v>801</v>
      </c>
      <c r="G771" s="25">
        <f t="shared" si="16"/>
        <v>-1.4688972142883561E-2</v>
      </c>
    </row>
    <row r="772" spans="1:7">
      <c r="A772" s="46">
        <v>265.35000000000002</v>
      </c>
      <c r="B772" s="46">
        <v>265.47000000000003</v>
      </c>
      <c r="C772" s="46">
        <v>261.43</v>
      </c>
      <c r="D772" s="46">
        <v>265.31</v>
      </c>
      <c r="E772" s="46">
        <v>871344</v>
      </c>
      <c r="F772" s="46" t="s">
        <v>802</v>
      </c>
      <c r="G772" s="25">
        <f t="shared" si="16"/>
        <v>1.5076702725114188E-4</v>
      </c>
    </row>
    <row r="773" spans="1:7">
      <c r="A773" s="46">
        <v>267.79000000000002</v>
      </c>
      <c r="B773" s="46">
        <v>269.8279</v>
      </c>
      <c r="C773" s="46">
        <v>261.85000000000002</v>
      </c>
      <c r="D773" s="46">
        <v>263.24</v>
      </c>
      <c r="E773" s="46">
        <v>814875</v>
      </c>
      <c r="F773" s="46" t="s">
        <v>803</v>
      </c>
      <c r="G773" s="25">
        <f t="shared" si="16"/>
        <v>1.728460720255276E-2</v>
      </c>
    </row>
    <row r="774" spans="1:7">
      <c r="A774" s="46">
        <v>261.64999999999998</v>
      </c>
      <c r="B774" s="46">
        <v>267.51</v>
      </c>
      <c r="C774" s="46">
        <v>261.54000000000002</v>
      </c>
      <c r="D774" s="46">
        <v>262.94</v>
      </c>
      <c r="E774" s="46">
        <v>855775</v>
      </c>
      <c r="F774" s="46" t="s">
        <v>804</v>
      </c>
      <c r="G774" s="25">
        <f t="shared" si="16"/>
        <v>-4.9060622195178372E-3</v>
      </c>
    </row>
    <row r="775" spans="1:7">
      <c r="A775" s="46">
        <v>263.97000000000003</v>
      </c>
      <c r="B775" s="46">
        <v>265.495</v>
      </c>
      <c r="C775" s="46">
        <v>260.58999999999997</v>
      </c>
      <c r="D775" s="46">
        <v>262.76</v>
      </c>
      <c r="E775" s="46">
        <v>957352</v>
      </c>
      <c r="F775" s="46" t="s">
        <v>805</v>
      </c>
      <c r="G775" s="25">
        <f t="shared" si="16"/>
        <v>4.6049627036079954E-3</v>
      </c>
    </row>
    <row r="776" spans="1:7">
      <c r="A776" s="46">
        <v>262.66000000000003</v>
      </c>
      <c r="B776" s="46">
        <v>263.99</v>
      </c>
      <c r="C776" s="46">
        <v>260.51</v>
      </c>
      <c r="D776" s="46">
        <v>261.92</v>
      </c>
      <c r="E776" s="46">
        <v>1042038</v>
      </c>
      <c r="F776" s="46" t="s">
        <v>806</v>
      </c>
      <c r="G776" s="25">
        <f t="shared" si="16"/>
        <v>2.8252901649359341E-3</v>
      </c>
    </row>
    <row r="777" spans="1:7">
      <c r="A777" s="46">
        <v>263.61</v>
      </c>
      <c r="B777" s="46">
        <v>264.29000000000002</v>
      </c>
      <c r="C777" s="46">
        <v>259</v>
      </c>
      <c r="D777" s="46">
        <v>263.48</v>
      </c>
      <c r="E777" s="46">
        <v>2015521</v>
      </c>
      <c r="F777" s="46" t="s">
        <v>807</v>
      </c>
      <c r="G777" s="25">
        <f t="shared" si="16"/>
        <v>4.9339608319409756E-4</v>
      </c>
    </row>
    <row r="778" spans="1:7">
      <c r="A778" s="46">
        <v>266.16000000000003</v>
      </c>
      <c r="B778" s="46">
        <v>267.27</v>
      </c>
      <c r="C778" s="46">
        <v>262.53500000000003</v>
      </c>
      <c r="D778" s="46">
        <v>263.69</v>
      </c>
      <c r="E778" s="46">
        <v>1625952</v>
      </c>
      <c r="F778" s="46" t="s">
        <v>808</v>
      </c>
      <c r="G778" s="25">
        <f t="shared" si="16"/>
        <v>9.3670598050743514E-3</v>
      </c>
    </row>
    <row r="779" spans="1:7">
      <c r="A779" s="46">
        <v>261.8</v>
      </c>
      <c r="B779" s="46">
        <v>262.11</v>
      </c>
      <c r="C779" s="46">
        <v>257.76</v>
      </c>
      <c r="D779" s="46">
        <v>261.10000000000002</v>
      </c>
      <c r="E779" s="46">
        <v>2056631</v>
      </c>
      <c r="F779" s="46" t="s">
        <v>809</v>
      </c>
      <c r="G779" s="25">
        <f t="shared" si="16"/>
        <v>2.6809651474530849E-3</v>
      </c>
    </row>
    <row r="780" spans="1:7">
      <c r="A780" s="46">
        <v>261.01</v>
      </c>
      <c r="B780" s="46">
        <v>264.99</v>
      </c>
      <c r="C780" s="46">
        <v>260.39</v>
      </c>
      <c r="D780" s="46">
        <v>264.99</v>
      </c>
      <c r="E780" s="46">
        <v>2004210</v>
      </c>
      <c r="F780" s="46" t="s">
        <v>810</v>
      </c>
      <c r="G780" s="25">
        <f t="shared" si="16"/>
        <v>-1.5019434695648926E-2</v>
      </c>
    </row>
    <row r="781" spans="1:7">
      <c r="A781" s="46">
        <v>264.68</v>
      </c>
      <c r="B781" s="46">
        <v>265.77999999999997</v>
      </c>
      <c r="C781" s="46">
        <v>261.06</v>
      </c>
      <c r="D781" s="46">
        <v>264.70999999999998</v>
      </c>
      <c r="E781" s="46">
        <v>5296881</v>
      </c>
      <c r="F781" s="46" t="s">
        <v>811</v>
      </c>
      <c r="G781" s="25">
        <f t="shared" si="16"/>
        <v>-1.1333157039772335E-4</v>
      </c>
    </row>
    <row r="782" spans="1:7">
      <c r="A782" s="46">
        <v>267.3</v>
      </c>
      <c r="B782" s="46">
        <v>275.27999999999997</v>
      </c>
      <c r="C782" s="46">
        <v>266.33999999999997</v>
      </c>
      <c r="D782" s="46">
        <v>275.08</v>
      </c>
      <c r="E782" s="46">
        <v>2590388</v>
      </c>
      <c r="F782" s="46" t="s">
        <v>812</v>
      </c>
      <c r="G782" s="25">
        <f t="shared" si="16"/>
        <v>-2.8282681401773924E-2</v>
      </c>
    </row>
    <row r="783" spans="1:7">
      <c r="A783" s="46">
        <v>280.64999999999998</v>
      </c>
      <c r="B783" s="46">
        <v>285.08999999999997</v>
      </c>
      <c r="C783" s="46">
        <v>277.39</v>
      </c>
      <c r="D783" s="46">
        <v>280.75</v>
      </c>
      <c r="E783" s="46">
        <v>2945123</v>
      </c>
      <c r="F783" s="46" t="s">
        <v>813</v>
      </c>
      <c r="G783" s="25">
        <f t="shared" si="16"/>
        <v>-3.561887800535013E-4</v>
      </c>
    </row>
    <row r="784" spans="1:7">
      <c r="A784" s="46">
        <v>281.74</v>
      </c>
      <c r="B784" s="46">
        <v>285.05500000000001</v>
      </c>
      <c r="C784" s="46">
        <v>276.88</v>
      </c>
      <c r="D784" s="46">
        <v>284.92</v>
      </c>
      <c r="E784" s="46">
        <v>2938230</v>
      </c>
      <c r="F784" s="46" t="s">
        <v>814</v>
      </c>
      <c r="G784" s="25">
        <f t="shared" si="16"/>
        <v>-1.1161027656886202E-2</v>
      </c>
    </row>
    <row r="785" spans="1:7">
      <c r="A785" s="46">
        <v>273.83999999999997</v>
      </c>
      <c r="B785" s="46">
        <v>274.06</v>
      </c>
      <c r="C785" s="46">
        <v>270</v>
      </c>
      <c r="D785" s="46">
        <v>272.22000000000003</v>
      </c>
      <c r="E785" s="46">
        <v>1887689</v>
      </c>
      <c r="F785" s="46" t="s">
        <v>815</v>
      </c>
      <c r="G785" s="25">
        <f t="shared" si="16"/>
        <v>5.9510689883179868E-3</v>
      </c>
    </row>
    <row r="786" spans="1:7">
      <c r="A786" s="46">
        <v>270.60000000000002</v>
      </c>
      <c r="B786" s="46">
        <v>273.79000000000002</v>
      </c>
      <c r="C786" s="46">
        <v>269.94</v>
      </c>
      <c r="D786" s="46">
        <v>270.49</v>
      </c>
      <c r="E786" s="46">
        <v>2102911</v>
      </c>
      <c r="F786" s="46" t="s">
        <v>816</v>
      </c>
      <c r="G786" s="25">
        <f t="shared" si="16"/>
        <v>4.0666937779598733E-4</v>
      </c>
    </row>
    <row r="787" spans="1:7">
      <c r="A787" s="46">
        <v>272.02</v>
      </c>
      <c r="B787" s="46">
        <v>274.2</v>
      </c>
      <c r="C787" s="46">
        <v>268.63</v>
      </c>
      <c r="D787" s="46">
        <v>270.70999999999998</v>
      </c>
      <c r="E787" s="46">
        <v>1431646</v>
      </c>
      <c r="F787" s="46" t="s">
        <v>817</v>
      </c>
      <c r="G787" s="25">
        <f t="shared" si="16"/>
        <v>4.8391267407927874E-3</v>
      </c>
    </row>
    <row r="788" spans="1:7">
      <c r="A788" s="46">
        <v>267.95999999999998</v>
      </c>
      <c r="B788" s="46">
        <v>268.6003</v>
      </c>
      <c r="C788" s="46">
        <v>265.14</v>
      </c>
      <c r="D788" s="46">
        <v>266.19</v>
      </c>
      <c r="E788" s="46">
        <v>1195560</v>
      </c>
      <c r="F788" s="46" t="s">
        <v>818</v>
      </c>
      <c r="G788" s="25">
        <f t="shared" si="16"/>
        <v>6.6493857770764109E-3</v>
      </c>
    </row>
    <row r="789" spans="1:7">
      <c r="A789" s="46">
        <v>266.31</v>
      </c>
      <c r="B789" s="46">
        <v>269.42</v>
      </c>
      <c r="C789" s="46">
        <v>264.505</v>
      </c>
      <c r="D789" s="46">
        <v>269</v>
      </c>
      <c r="E789" s="46">
        <v>1477842</v>
      </c>
      <c r="F789" s="46" t="s">
        <v>819</v>
      </c>
      <c r="G789" s="25">
        <f t="shared" si="16"/>
        <v>-1.0000000000000009E-2</v>
      </c>
    </row>
    <row r="790" spans="1:7">
      <c r="A790" s="46">
        <v>269.72000000000003</v>
      </c>
      <c r="B790" s="46">
        <v>271.25</v>
      </c>
      <c r="C790" s="46">
        <v>267.22000000000003</v>
      </c>
      <c r="D790" s="46">
        <v>269.14</v>
      </c>
      <c r="E790" s="46">
        <v>1505031</v>
      </c>
      <c r="F790" s="46" t="s">
        <v>820</v>
      </c>
      <c r="G790" s="25">
        <f t="shared" si="16"/>
        <v>2.1550122612767897E-3</v>
      </c>
    </row>
    <row r="791" spans="1:7">
      <c r="A791" s="46">
        <v>272.25</v>
      </c>
      <c r="B791" s="46">
        <v>272.95999999999998</v>
      </c>
      <c r="C791" s="46">
        <v>267.42700000000002</v>
      </c>
      <c r="D791" s="46">
        <v>268.14999999999998</v>
      </c>
      <c r="E791" s="46">
        <v>1629271</v>
      </c>
      <c r="F791" s="46" t="s">
        <v>821</v>
      </c>
      <c r="G791" s="25">
        <f t="shared" si="16"/>
        <v>1.5289949655043822E-2</v>
      </c>
    </row>
    <row r="792" spans="1:7">
      <c r="A792" s="46">
        <v>274.49</v>
      </c>
      <c r="B792" s="46">
        <v>275.83499999999998</v>
      </c>
      <c r="C792" s="46">
        <v>269.89999999999998</v>
      </c>
      <c r="D792" s="46">
        <v>270.39</v>
      </c>
      <c r="E792" s="46">
        <v>1870418</v>
      </c>
      <c r="F792" s="46" t="s">
        <v>822</v>
      </c>
      <c r="G792" s="25">
        <f t="shared" si="16"/>
        <v>1.5163282665779043E-2</v>
      </c>
    </row>
    <row r="793" spans="1:7">
      <c r="A793" s="46">
        <v>270.39</v>
      </c>
      <c r="B793" s="46">
        <v>270.48</v>
      </c>
      <c r="C793" s="46">
        <v>260.48</v>
      </c>
      <c r="D793" s="46">
        <v>260.48</v>
      </c>
      <c r="E793" s="46">
        <v>3377235</v>
      </c>
      <c r="F793" s="46" t="s">
        <v>823</v>
      </c>
      <c r="G793" s="25">
        <f t="shared" si="16"/>
        <v>3.8045147420147307E-2</v>
      </c>
    </row>
    <row r="794" spans="1:7">
      <c r="A794" s="46">
        <v>258.8</v>
      </c>
      <c r="B794" s="46">
        <v>262.99</v>
      </c>
      <c r="C794" s="46">
        <v>257.2</v>
      </c>
      <c r="D794" s="46">
        <v>262.04000000000002</v>
      </c>
      <c r="E794" s="46">
        <v>1497722</v>
      </c>
      <c r="F794" s="46" t="s">
        <v>824</v>
      </c>
      <c r="G794" s="25">
        <f t="shared" si="16"/>
        <v>-1.2364524500076413E-2</v>
      </c>
    </row>
    <row r="795" spans="1:7">
      <c r="A795" s="46">
        <v>262.64</v>
      </c>
      <c r="B795" s="46">
        <v>266.5</v>
      </c>
      <c r="C795" s="46">
        <v>261.82</v>
      </c>
      <c r="D795" s="46">
        <v>264.54000000000002</v>
      </c>
      <c r="E795" s="46">
        <v>1408335</v>
      </c>
      <c r="F795" s="46" t="s">
        <v>825</v>
      </c>
      <c r="G795" s="25">
        <f t="shared" si="16"/>
        <v>-7.182278672412612E-3</v>
      </c>
    </row>
    <row r="796" spans="1:7">
      <c r="A796" s="46">
        <v>265.13</v>
      </c>
      <c r="B796" s="46">
        <v>265.35000000000002</v>
      </c>
      <c r="C796" s="46">
        <v>261.41000000000003</v>
      </c>
      <c r="D796" s="46">
        <v>263.69</v>
      </c>
      <c r="E796" s="46">
        <v>788105</v>
      </c>
      <c r="F796" s="46" t="s">
        <v>826</v>
      </c>
      <c r="G796" s="25">
        <f t="shared" si="16"/>
        <v>5.4609579430391353E-3</v>
      </c>
    </row>
    <row r="797" spans="1:7">
      <c r="A797" s="46">
        <v>264.45</v>
      </c>
      <c r="B797" s="46">
        <v>267.11</v>
      </c>
      <c r="C797" s="46">
        <v>262.82499999999999</v>
      </c>
      <c r="D797" s="46">
        <v>264.49</v>
      </c>
      <c r="E797" s="46">
        <v>1532224</v>
      </c>
      <c r="F797" s="46" t="s">
        <v>827</v>
      </c>
      <c r="G797" s="25">
        <f t="shared" si="16"/>
        <v>-1.5123445120801549E-4</v>
      </c>
    </row>
    <row r="798" spans="1:7">
      <c r="A798" s="46">
        <v>262.89999999999998</v>
      </c>
      <c r="B798" s="46">
        <v>263.75</v>
      </c>
      <c r="C798" s="46">
        <v>258.48</v>
      </c>
      <c r="D798" s="46">
        <v>258.99</v>
      </c>
      <c r="E798" s="46">
        <v>1369111</v>
      </c>
      <c r="F798" s="46" t="s">
        <v>828</v>
      </c>
      <c r="G798" s="25">
        <f t="shared" si="16"/>
        <v>1.5097107996447701E-2</v>
      </c>
    </row>
    <row r="799" spans="1:7">
      <c r="A799" s="46">
        <v>260.35000000000002</v>
      </c>
      <c r="B799" s="46">
        <v>264.81</v>
      </c>
      <c r="C799" s="46">
        <v>259.64</v>
      </c>
      <c r="D799" s="46">
        <v>260.95999999999998</v>
      </c>
      <c r="E799" s="46">
        <v>1805241</v>
      </c>
      <c r="F799" s="46" t="s">
        <v>829</v>
      </c>
      <c r="G799" s="25">
        <f t="shared" si="16"/>
        <v>-2.3375229920292728E-3</v>
      </c>
    </row>
    <row r="800" spans="1:7">
      <c r="A800" s="46">
        <v>262.11</v>
      </c>
      <c r="B800" s="46">
        <v>266.60000000000002</v>
      </c>
      <c r="C800" s="46">
        <v>260.05</v>
      </c>
      <c r="D800" s="46">
        <v>264.44</v>
      </c>
      <c r="E800" s="46">
        <v>1579073</v>
      </c>
      <c r="F800" s="46" t="s">
        <v>830</v>
      </c>
      <c r="G800" s="25">
        <f t="shared" si="16"/>
        <v>-8.8110724549992359E-3</v>
      </c>
    </row>
    <row r="801" spans="1:7">
      <c r="A801" s="46">
        <v>260.77</v>
      </c>
      <c r="B801" s="46">
        <v>262</v>
      </c>
      <c r="C801" s="46">
        <v>255.4</v>
      </c>
      <c r="D801" s="46">
        <v>258.45999999999998</v>
      </c>
      <c r="E801" s="46">
        <v>1981570</v>
      </c>
      <c r="F801" s="46" t="s">
        <v>831</v>
      </c>
      <c r="G801" s="25">
        <f t="shared" ref="G801:G864" si="17">A801/D801-1</f>
        <v>8.9375531997213375E-3</v>
      </c>
    </row>
    <row r="802" spans="1:7">
      <c r="A802" s="46">
        <v>263.04000000000002</v>
      </c>
      <c r="B802" s="46">
        <v>265.38</v>
      </c>
      <c r="C802" s="46">
        <v>260.99</v>
      </c>
      <c r="D802" s="46">
        <v>264.83999999999997</v>
      </c>
      <c r="E802" s="46">
        <v>1619965</v>
      </c>
      <c r="F802" s="46" t="s">
        <v>832</v>
      </c>
      <c r="G802" s="25">
        <f t="shared" si="17"/>
        <v>-6.7965564114180754E-3</v>
      </c>
    </row>
    <row r="803" spans="1:7">
      <c r="A803" s="46">
        <v>264.18</v>
      </c>
      <c r="B803" s="46">
        <v>266.14</v>
      </c>
      <c r="C803" s="46">
        <v>261.08999999999997</v>
      </c>
      <c r="D803" s="46">
        <v>262.95999999999998</v>
      </c>
      <c r="E803" s="46">
        <v>2068414</v>
      </c>
      <c r="F803" s="46" t="s">
        <v>833</v>
      </c>
      <c r="G803" s="25">
        <f t="shared" si="17"/>
        <v>4.6394888956495794E-3</v>
      </c>
    </row>
    <row r="804" spans="1:7">
      <c r="A804" s="46">
        <v>259.44</v>
      </c>
      <c r="B804" s="46">
        <v>263.08999999999997</v>
      </c>
      <c r="C804" s="46">
        <v>257.83999999999997</v>
      </c>
      <c r="D804" s="46">
        <v>262.19</v>
      </c>
      <c r="E804" s="46">
        <v>2283689</v>
      </c>
      <c r="F804" s="46" t="s">
        <v>834</v>
      </c>
      <c r="G804" s="25">
        <f t="shared" si="17"/>
        <v>-1.0488576986155129E-2</v>
      </c>
    </row>
    <row r="805" spans="1:7">
      <c r="A805" s="46">
        <v>265.08</v>
      </c>
      <c r="B805" s="46">
        <v>267.67</v>
      </c>
      <c r="C805" s="46">
        <v>255.74</v>
      </c>
      <c r="D805" s="46">
        <v>255.74</v>
      </c>
      <c r="E805" s="46">
        <v>3188372</v>
      </c>
      <c r="F805" s="46" t="s">
        <v>835</v>
      </c>
      <c r="G805" s="25">
        <f t="shared" si="17"/>
        <v>3.6521467115038675E-2</v>
      </c>
    </row>
    <row r="806" spans="1:7">
      <c r="A806" s="46">
        <v>257.86</v>
      </c>
      <c r="B806" s="46">
        <v>258.73</v>
      </c>
      <c r="C806" s="46">
        <v>247.03</v>
      </c>
      <c r="D806" s="46">
        <v>248.66</v>
      </c>
      <c r="E806" s="46">
        <v>3949792</v>
      </c>
      <c r="F806" s="46" t="s">
        <v>836</v>
      </c>
      <c r="G806" s="25">
        <f t="shared" si="17"/>
        <v>3.6998310946674273E-2</v>
      </c>
    </row>
    <row r="807" spans="1:7">
      <c r="A807" s="46">
        <v>236.13</v>
      </c>
      <c r="B807" s="46">
        <v>241.13</v>
      </c>
      <c r="C807" s="46">
        <v>235.58</v>
      </c>
      <c r="D807" s="46">
        <v>238.76</v>
      </c>
      <c r="E807" s="46">
        <v>1761573</v>
      </c>
      <c r="F807" s="46" t="s">
        <v>837</v>
      </c>
      <c r="G807" s="25">
        <f t="shared" si="17"/>
        <v>-1.101524543474619E-2</v>
      </c>
    </row>
    <row r="808" spans="1:7">
      <c r="A808" s="46">
        <v>240.7</v>
      </c>
      <c r="B808" s="46">
        <v>245.745</v>
      </c>
      <c r="C808" s="46">
        <v>237.56</v>
      </c>
      <c r="D808" s="46">
        <v>242.18</v>
      </c>
      <c r="E808" s="46">
        <v>1589748</v>
      </c>
      <c r="F808" s="46" t="s">
        <v>838</v>
      </c>
      <c r="G808" s="25">
        <f t="shared" si="17"/>
        <v>-6.1111569906682206E-3</v>
      </c>
    </row>
    <row r="809" spans="1:7">
      <c r="A809" s="46">
        <v>242.33</v>
      </c>
      <c r="B809" s="46">
        <v>244.2</v>
      </c>
      <c r="C809" s="46">
        <v>239.8</v>
      </c>
      <c r="D809" s="46">
        <v>241.72</v>
      </c>
      <c r="E809" s="46">
        <v>2108116</v>
      </c>
      <c r="F809" s="46" t="s">
        <v>839</v>
      </c>
      <c r="G809" s="25">
        <f t="shared" si="17"/>
        <v>2.5235810028132466E-3</v>
      </c>
    </row>
    <row r="810" spans="1:7">
      <c r="A810" s="46">
        <v>239.53</v>
      </c>
      <c r="B810" s="46">
        <v>240.77</v>
      </c>
      <c r="C810" s="46">
        <v>233.7</v>
      </c>
      <c r="D810" s="46">
        <v>237.92</v>
      </c>
      <c r="E810" s="46">
        <v>1895939</v>
      </c>
      <c r="F810" s="46" t="s">
        <v>840</v>
      </c>
      <c r="G810" s="25">
        <f t="shared" si="17"/>
        <v>6.7669804976462355E-3</v>
      </c>
    </row>
    <row r="811" spans="1:7">
      <c r="A811" s="46">
        <v>234.19</v>
      </c>
      <c r="B811" s="46">
        <v>236.16</v>
      </c>
      <c r="C811" s="46">
        <v>231.07</v>
      </c>
      <c r="D811" s="46">
        <v>233.01</v>
      </c>
      <c r="E811" s="46">
        <v>2341344</v>
      </c>
      <c r="F811" s="46" t="s">
        <v>841</v>
      </c>
      <c r="G811" s="25">
        <f t="shared" si="17"/>
        <v>5.0641603364662835E-3</v>
      </c>
    </row>
    <row r="812" spans="1:7">
      <c r="A812" s="46">
        <v>236.13</v>
      </c>
      <c r="B812" s="46">
        <v>247.97</v>
      </c>
      <c r="C812" s="46">
        <v>236</v>
      </c>
      <c r="D812" s="46">
        <v>245.43</v>
      </c>
      <c r="E812" s="46">
        <v>2708410</v>
      </c>
      <c r="F812" s="46" t="s">
        <v>842</v>
      </c>
      <c r="G812" s="25">
        <f t="shared" si="17"/>
        <v>-3.7892678156704607E-2</v>
      </c>
    </row>
    <row r="813" spans="1:7">
      <c r="A813" s="46">
        <v>246.86</v>
      </c>
      <c r="B813" s="46">
        <v>251.29</v>
      </c>
      <c r="C813" s="46">
        <v>245.185</v>
      </c>
      <c r="D813" s="46">
        <v>248.07</v>
      </c>
      <c r="E813" s="46">
        <v>2277365</v>
      </c>
      <c r="F813" s="46" t="s">
        <v>843</v>
      </c>
      <c r="G813" s="25">
        <f t="shared" si="17"/>
        <v>-4.8776555004634847E-3</v>
      </c>
    </row>
    <row r="814" spans="1:7">
      <c r="A814" s="46">
        <v>246.47</v>
      </c>
      <c r="B814" s="46">
        <v>248.41</v>
      </c>
      <c r="C814" s="46">
        <v>242.79</v>
      </c>
      <c r="D814" s="46">
        <v>243</v>
      </c>
      <c r="E814" s="46">
        <v>2704484</v>
      </c>
      <c r="F814" s="46" t="s">
        <v>844</v>
      </c>
      <c r="G814" s="25">
        <f t="shared" si="17"/>
        <v>1.4279835390946571E-2</v>
      </c>
    </row>
    <row r="815" spans="1:7">
      <c r="A815" s="46">
        <v>244.16</v>
      </c>
      <c r="B815" s="46">
        <v>248.11</v>
      </c>
      <c r="C815" s="46">
        <v>240.39500000000001</v>
      </c>
      <c r="D815" s="46">
        <v>240.94</v>
      </c>
      <c r="E815" s="46">
        <v>2901792</v>
      </c>
      <c r="F815" s="46" t="s">
        <v>845</v>
      </c>
      <c r="G815" s="25">
        <f t="shared" si="17"/>
        <v>1.336432306798363E-2</v>
      </c>
    </row>
    <row r="816" spans="1:7">
      <c r="A816" s="46">
        <v>241.69</v>
      </c>
      <c r="B816" s="46">
        <v>244.1</v>
      </c>
      <c r="C816" s="46">
        <v>238.32</v>
      </c>
      <c r="D816" s="46">
        <v>242.44</v>
      </c>
      <c r="E816" s="46">
        <v>2770229</v>
      </c>
      <c r="F816" s="46" t="s">
        <v>846</v>
      </c>
      <c r="G816" s="25">
        <f t="shared" si="17"/>
        <v>-3.0935489193202326E-3</v>
      </c>
    </row>
    <row r="817" spans="1:7">
      <c r="A817" s="46">
        <v>241.66</v>
      </c>
      <c r="B817" s="46">
        <v>249.14</v>
      </c>
      <c r="C817" s="46">
        <v>235.94</v>
      </c>
      <c r="D817" s="46">
        <v>237.75</v>
      </c>
      <c r="E817" s="46">
        <v>3700657</v>
      </c>
      <c r="F817" s="46" t="s">
        <v>847</v>
      </c>
      <c r="G817" s="25">
        <f t="shared" si="17"/>
        <v>1.6445846477392223E-2</v>
      </c>
    </row>
    <row r="818" spans="1:7">
      <c r="A818" s="46">
        <v>237.87</v>
      </c>
      <c r="B818" s="46">
        <v>238.07</v>
      </c>
      <c r="C818" s="46">
        <v>226.11</v>
      </c>
      <c r="D818" s="46">
        <v>231.03</v>
      </c>
      <c r="E818" s="46">
        <v>4646787</v>
      </c>
      <c r="F818" s="46" t="s">
        <v>848</v>
      </c>
      <c r="G818" s="25">
        <f t="shared" si="17"/>
        <v>2.9606544604596774E-2</v>
      </c>
    </row>
    <row r="819" spans="1:7">
      <c r="A819" s="46">
        <v>220.27</v>
      </c>
      <c r="B819" s="46">
        <v>221.56</v>
      </c>
      <c r="C819" s="46">
        <v>217.64</v>
      </c>
      <c r="D819" s="46">
        <v>218.84</v>
      </c>
      <c r="E819" s="46">
        <v>2430492</v>
      </c>
      <c r="F819" s="46" t="s">
        <v>849</v>
      </c>
      <c r="G819" s="25">
        <f t="shared" si="17"/>
        <v>6.5344543959056089E-3</v>
      </c>
    </row>
    <row r="820" spans="1:7">
      <c r="A820" s="46">
        <v>218.49</v>
      </c>
      <c r="B820" s="46">
        <v>219.04</v>
      </c>
      <c r="C820" s="46">
        <v>206.77</v>
      </c>
      <c r="D820" s="46">
        <v>210.5</v>
      </c>
      <c r="E820" s="46">
        <v>3142819</v>
      </c>
      <c r="F820" s="46" t="s">
        <v>850</v>
      </c>
      <c r="G820" s="25">
        <f t="shared" si="17"/>
        <v>3.7957244655582034E-2</v>
      </c>
    </row>
    <row r="821" spans="1:7">
      <c r="A821" s="46">
        <v>212</v>
      </c>
      <c r="B821" s="46">
        <v>221</v>
      </c>
      <c r="C821" s="46">
        <v>211.12</v>
      </c>
      <c r="D821" s="46">
        <v>211.41</v>
      </c>
      <c r="E821" s="46">
        <v>3664878</v>
      </c>
      <c r="F821" s="46" t="s">
        <v>851</v>
      </c>
      <c r="G821" s="25">
        <f t="shared" si="17"/>
        <v>2.7907856771203221E-3</v>
      </c>
    </row>
    <row r="822" spans="1:7">
      <c r="A822" s="46">
        <v>211.14</v>
      </c>
      <c r="B822" s="46">
        <v>220.98</v>
      </c>
      <c r="C822" s="46">
        <v>210.36</v>
      </c>
      <c r="D822" s="46">
        <v>217.94</v>
      </c>
      <c r="E822" s="46">
        <v>5873010</v>
      </c>
      <c r="F822" s="46" t="s">
        <v>852</v>
      </c>
      <c r="G822" s="25">
        <f t="shared" si="17"/>
        <v>-3.1201248049922081E-2</v>
      </c>
    </row>
    <row r="823" spans="1:7">
      <c r="A823" s="46">
        <v>193.73</v>
      </c>
      <c r="B823" s="46">
        <v>199.77</v>
      </c>
      <c r="C823" s="46">
        <v>192.39500000000001</v>
      </c>
      <c r="D823" s="46">
        <v>195.94</v>
      </c>
      <c r="E823" s="46">
        <v>2957831</v>
      </c>
      <c r="F823" s="46" t="s">
        <v>853</v>
      </c>
      <c r="G823" s="25">
        <f t="shared" si="17"/>
        <v>-1.1278962947841253E-2</v>
      </c>
    </row>
    <row r="824" spans="1:7">
      <c r="A824" s="46">
        <v>190.12</v>
      </c>
      <c r="B824" s="46">
        <v>190.745</v>
      </c>
      <c r="C824" s="46">
        <v>185.82</v>
      </c>
      <c r="D824" s="46">
        <v>186.26</v>
      </c>
      <c r="E824" s="46">
        <v>2379929</v>
      </c>
      <c r="F824" s="46" t="s">
        <v>854</v>
      </c>
      <c r="G824" s="25">
        <f t="shared" si="17"/>
        <v>2.072371953183727E-2</v>
      </c>
    </row>
    <row r="825" spans="1:7">
      <c r="A825" s="46">
        <v>183.06</v>
      </c>
      <c r="B825" s="46">
        <v>194.5</v>
      </c>
      <c r="C825" s="46">
        <v>182.56</v>
      </c>
      <c r="D825" s="46">
        <v>193.29</v>
      </c>
      <c r="E825" s="46">
        <v>2430640</v>
      </c>
      <c r="F825" s="46" t="s">
        <v>855</v>
      </c>
      <c r="G825" s="25">
        <f t="shared" si="17"/>
        <v>-5.2925655750426737E-2</v>
      </c>
    </row>
    <row r="826" spans="1:7">
      <c r="A826" s="46">
        <v>190.38</v>
      </c>
      <c r="B826" s="46">
        <v>192.44</v>
      </c>
      <c r="C826" s="46">
        <v>180.07</v>
      </c>
      <c r="D826" s="46">
        <v>181.11</v>
      </c>
      <c r="E826" s="46">
        <v>2067327</v>
      </c>
      <c r="F826" s="46" t="s">
        <v>856</v>
      </c>
      <c r="G826" s="25">
        <f t="shared" si="17"/>
        <v>5.1184363094252117E-2</v>
      </c>
    </row>
    <row r="827" spans="1:7">
      <c r="A827" s="46">
        <v>186.34</v>
      </c>
      <c r="B827" s="46">
        <v>186.97319999999999</v>
      </c>
      <c r="C827" s="46">
        <v>183.57</v>
      </c>
      <c r="D827" s="46">
        <v>186.56</v>
      </c>
      <c r="E827" s="46">
        <v>1628438</v>
      </c>
      <c r="F827" s="46" t="s">
        <v>857</v>
      </c>
      <c r="G827" s="25">
        <f t="shared" si="17"/>
        <v>-1.179245283018826E-3</v>
      </c>
    </row>
    <row r="828" spans="1:7">
      <c r="A828" s="46">
        <v>185.9</v>
      </c>
      <c r="B828" s="46">
        <v>189.67</v>
      </c>
      <c r="C828" s="46">
        <v>183.53</v>
      </c>
      <c r="D828" s="46">
        <v>186.22</v>
      </c>
      <c r="E828" s="46">
        <v>1663493</v>
      </c>
      <c r="F828" s="46" t="s">
        <v>858</v>
      </c>
      <c r="G828" s="25">
        <f t="shared" si="17"/>
        <v>-1.7183975942433038E-3</v>
      </c>
    </row>
    <row r="829" spans="1:7">
      <c r="A829" s="46">
        <v>186.55</v>
      </c>
      <c r="B829" s="46">
        <v>188.65</v>
      </c>
      <c r="C829" s="46">
        <v>184.32</v>
      </c>
      <c r="D829" s="46">
        <v>187.94</v>
      </c>
      <c r="E829" s="46">
        <v>1635058</v>
      </c>
      <c r="F829" s="46" t="s">
        <v>859</v>
      </c>
      <c r="G829" s="25">
        <f t="shared" si="17"/>
        <v>-7.3959774396082922E-3</v>
      </c>
    </row>
    <row r="830" spans="1:7">
      <c r="A830" s="46">
        <v>188.68</v>
      </c>
      <c r="B830" s="46">
        <v>195.6</v>
      </c>
      <c r="C830" s="46">
        <v>187.62</v>
      </c>
      <c r="D830" s="46">
        <v>194.65</v>
      </c>
      <c r="E830" s="46">
        <v>1897349</v>
      </c>
      <c r="F830" s="46" t="s">
        <v>860</v>
      </c>
      <c r="G830" s="25">
        <f t="shared" si="17"/>
        <v>-3.0670434112509581E-2</v>
      </c>
    </row>
    <row r="831" spans="1:7">
      <c r="A831" s="46">
        <v>197.7</v>
      </c>
      <c r="B831" s="46">
        <v>202.68</v>
      </c>
      <c r="C831" s="46">
        <v>197.23</v>
      </c>
      <c r="D831" s="46">
        <v>200.09</v>
      </c>
      <c r="E831" s="46">
        <v>1502356</v>
      </c>
      <c r="F831" s="46" t="s">
        <v>861</v>
      </c>
      <c r="G831" s="25">
        <f t="shared" si="17"/>
        <v>-1.1944624918786673E-2</v>
      </c>
    </row>
    <row r="832" spans="1:7">
      <c r="A832" s="46">
        <v>201.38</v>
      </c>
      <c r="B832" s="46">
        <v>202.58</v>
      </c>
      <c r="C832" s="46">
        <v>196.36</v>
      </c>
      <c r="D832" s="46">
        <v>198.27</v>
      </c>
      <c r="E832" s="46">
        <v>1647421</v>
      </c>
      <c r="F832" s="46" t="s">
        <v>862</v>
      </c>
      <c r="G832" s="25">
        <f t="shared" si="17"/>
        <v>1.5685681141877073E-2</v>
      </c>
    </row>
    <row r="833" spans="1:7">
      <c r="A833" s="46">
        <v>201.54</v>
      </c>
      <c r="B833" s="46">
        <v>202.8</v>
      </c>
      <c r="C833" s="46">
        <v>197.63499999999999</v>
      </c>
      <c r="D833" s="46">
        <v>197.87</v>
      </c>
      <c r="E833" s="46">
        <v>2079706</v>
      </c>
      <c r="F833" s="46" t="s">
        <v>863</v>
      </c>
      <c r="G833" s="25">
        <f t="shared" si="17"/>
        <v>1.8547531207358192E-2</v>
      </c>
    </row>
    <row r="834" spans="1:7">
      <c r="A834" s="46">
        <v>193.36</v>
      </c>
      <c r="B834" s="46">
        <v>195.17</v>
      </c>
      <c r="C834" s="46">
        <v>187.97</v>
      </c>
      <c r="D834" s="46">
        <v>189.4</v>
      </c>
      <c r="E834" s="46">
        <v>1644551</v>
      </c>
      <c r="F834" s="46" t="s">
        <v>864</v>
      </c>
      <c r="G834" s="25">
        <f t="shared" si="17"/>
        <v>2.0908130939810032E-2</v>
      </c>
    </row>
    <row r="835" spans="1:7">
      <c r="A835" s="46">
        <v>187.44</v>
      </c>
      <c r="B835" s="46">
        <v>194.46</v>
      </c>
      <c r="C835" s="46">
        <v>187.06</v>
      </c>
      <c r="D835" s="46">
        <v>190.12</v>
      </c>
      <c r="E835" s="46">
        <v>2094141</v>
      </c>
      <c r="F835" s="46" t="s">
        <v>865</v>
      </c>
      <c r="G835" s="25">
        <f t="shared" si="17"/>
        <v>-1.4096360193561974E-2</v>
      </c>
    </row>
    <row r="836" spans="1:7">
      <c r="A836" s="46">
        <v>189.06</v>
      </c>
      <c r="B836" s="46">
        <v>191.24709999999999</v>
      </c>
      <c r="C836" s="46">
        <v>187.09</v>
      </c>
      <c r="D836" s="46">
        <v>189.6</v>
      </c>
      <c r="E836" s="46">
        <v>1719182</v>
      </c>
      <c r="F836" s="46" t="s">
        <v>866</v>
      </c>
      <c r="G836" s="25">
        <f t="shared" si="17"/>
        <v>-2.848101265822689E-3</v>
      </c>
    </row>
    <row r="837" spans="1:7">
      <c r="A837" s="46">
        <v>192.4</v>
      </c>
      <c r="B837" s="46">
        <v>193.63</v>
      </c>
      <c r="C837" s="46">
        <v>186.26499999999999</v>
      </c>
      <c r="D837" s="46">
        <v>188.35</v>
      </c>
      <c r="E837" s="46">
        <v>1592731</v>
      </c>
      <c r="F837" s="46" t="s">
        <v>867</v>
      </c>
      <c r="G837" s="25">
        <f t="shared" si="17"/>
        <v>2.1502521900716776E-2</v>
      </c>
    </row>
    <row r="838" spans="1:7">
      <c r="A838" s="46">
        <v>186.38</v>
      </c>
      <c r="B838" s="46">
        <v>191.5</v>
      </c>
      <c r="C838" s="46">
        <v>184.93539999999999</v>
      </c>
      <c r="D838" s="46">
        <v>190.56</v>
      </c>
      <c r="E838" s="46">
        <v>1816038</v>
      </c>
      <c r="F838" s="46" t="s">
        <v>868</v>
      </c>
      <c r="G838" s="25">
        <f t="shared" si="17"/>
        <v>-2.1935348446683545E-2</v>
      </c>
    </row>
    <row r="839" spans="1:7">
      <c r="A839" s="46">
        <v>187.93</v>
      </c>
      <c r="B839" s="46">
        <v>192.46</v>
      </c>
      <c r="C839" s="46">
        <v>187.02</v>
      </c>
      <c r="D839" s="46">
        <v>189.95</v>
      </c>
      <c r="E839" s="46">
        <v>1751845</v>
      </c>
      <c r="F839" s="46" t="s">
        <v>869</v>
      </c>
      <c r="G839" s="25">
        <f t="shared" si="17"/>
        <v>-1.063437746775453E-2</v>
      </c>
    </row>
    <row r="840" spans="1:7">
      <c r="A840" s="46">
        <v>190.52</v>
      </c>
      <c r="B840" s="46">
        <v>191.14</v>
      </c>
      <c r="C840" s="46">
        <v>186.95</v>
      </c>
      <c r="D840" s="46">
        <v>190.2</v>
      </c>
      <c r="E840" s="46">
        <v>1918565</v>
      </c>
      <c r="F840" s="46" t="s">
        <v>870</v>
      </c>
      <c r="G840" s="25">
        <f t="shared" si="17"/>
        <v>1.6824395373291612E-3</v>
      </c>
    </row>
    <row r="841" spans="1:7">
      <c r="A841" s="46">
        <v>191.08</v>
      </c>
      <c r="B841" s="46">
        <v>194.45</v>
      </c>
      <c r="C841" s="46">
        <v>189.08</v>
      </c>
      <c r="D841" s="46">
        <v>193.45</v>
      </c>
      <c r="E841" s="46">
        <v>1907364</v>
      </c>
      <c r="F841" s="46" t="s">
        <v>871</v>
      </c>
      <c r="G841" s="25">
        <f t="shared" si="17"/>
        <v>-1.2251227707417822E-2</v>
      </c>
    </row>
    <row r="842" spans="1:7">
      <c r="A842" s="46">
        <v>195.04</v>
      </c>
      <c r="B842" s="46">
        <v>203.52</v>
      </c>
      <c r="C842" s="46">
        <v>195</v>
      </c>
      <c r="D842" s="46">
        <v>200.39</v>
      </c>
      <c r="E842" s="46">
        <v>1583260</v>
      </c>
      <c r="F842" s="46" t="s">
        <v>872</v>
      </c>
      <c r="G842" s="25">
        <f t="shared" si="17"/>
        <v>-2.6697939018913042E-2</v>
      </c>
    </row>
    <row r="843" spans="1:7">
      <c r="A843" s="46">
        <v>199.55</v>
      </c>
      <c r="B843" s="46">
        <v>201.17</v>
      </c>
      <c r="C843" s="46">
        <v>196.71</v>
      </c>
      <c r="D843" s="46">
        <v>201.13</v>
      </c>
      <c r="E843" s="46">
        <v>1627223</v>
      </c>
      <c r="F843" s="46" t="s">
        <v>873</v>
      </c>
      <c r="G843" s="25">
        <f t="shared" si="17"/>
        <v>-7.8556157708943308E-3</v>
      </c>
    </row>
    <row r="844" spans="1:7">
      <c r="A844" s="46">
        <v>202.21</v>
      </c>
      <c r="B844" s="46">
        <v>204.32</v>
      </c>
      <c r="C844" s="46">
        <v>199.48</v>
      </c>
      <c r="D844" s="46">
        <v>203.87</v>
      </c>
      <c r="E844" s="46">
        <v>2076350</v>
      </c>
      <c r="F844" s="46" t="s">
        <v>874</v>
      </c>
      <c r="G844" s="25">
        <f t="shared" si="17"/>
        <v>-8.1424437141315309E-3</v>
      </c>
    </row>
    <row r="845" spans="1:7">
      <c r="A845" s="46">
        <v>206.28</v>
      </c>
      <c r="B845" s="46">
        <v>207.43</v>
      </c>
      <c r="C845" s="46">
        <v>203.45500000000001</v>
      </c>
      <c r="D845" s="46">
        <v>206.75</v>
      </c>
      <c r="E845" s="46">
        <v>2801104</v>
      </c>
      <c r="F845" s="46" t="s">
        <v>875</v>
      </c>
      <c r="G845" s="25">
        <f t="shared" si="17"/>
        <v>-2.2732769044739864E-3</v>
      </c>
    </row>
    <row r="846" spans="1:7">
      <c r="A846" s="46">
        <v>209.62</v>
      </c>
      <c r="B846" s="46">
        <v>215.49</v>
      </c>
      <c r="C846" s="46">
        <v>209.17</v>
      </c>
      <c r="D846" s="46">
        <v>211</v>
      </c>
      <c r="E846" s="46">
        <v>2117547</v>
      </c>
      <c r="F846" s="46" t="s">
        <v>876</v>
      </c>
      <c r="G846" s="25">
        <f t="shared" si="17"/>
        <v>-6.5402843601894967E-3</v>
      </c>
    </row>
    <row r="847" spans="1:7">
      <c r="A847" s="46">
        <v>210.78</v>
      </c>
      <c r="B847" s="46">
        <v>212.98</v>
      </c>
      <c r="C847" s="46">
        <v>208.55500000000001</v>
      </c>
      <c r="D847" s="46">
        <v>210.78</v>
      </c>
      <c r="E847" s="46">
        <v>1490897</v>
      </c>
      <c r="F847" s="46" t="s">
        <v>877</v>
      </c>
      <c r="G847" s="25">
        <f t="shared" si="17"/>
        <v>0</v>
      </c>
    </row>
    <row r="848" spans="1:7">
      <c r="A848" s="46">
        <v>211.4</v>
      </c>
      <c r="B848" s="46">
        <v>216.72499999999999</v>
      </c>
      <c r="C848" s="46">
        <v>210.88</v>
      </c>
      <c r="D848" s="46">
        <v>214.62</v>
      </c>
      <c r="E848" s="46">
        <v>2375326</v>
      </c>
      <c r="F848" s="46" t="s">
        <v>878</v>
      </c>
      <c r="G848" s="25">
        <f t="shared" si="17"/>
        <v>-1.5003261578603988E-2</v>
      </c>
    </row>
    <row r="849" spans="1:7">
      <c r="A849" s="46">
        <v>222.02</v>
      </c>
      <c r="B849" s="46">
        <v>223.41</v>
      </c>
      <c r="C849" s="46">
        <v>219.41</v>
      </c>
      <c r="D849" s="46">
        <v>220.76</v>
      </c>
      <c r="E849" s="46">
        <v>1313619</v>
      </c>
      <c r="F849" s="46" t="s">
        <v>879</v>
      </c>
      <c r="G849" s="25">
        <f t="shared" si="17"/>
        <v>5.70755571661552E-3</v>
      </c>
    </row>
    <row r="850" spans="1:7">
      <c r="A850" s="46">
        <v>221.32</v>
      </c>
      <c r="B850" s="46">
        <v>221.89</v>
      </c>
      <c r="C850" s="46">
        <v>215.45</v>
      </c>
      <c r="D850" s="46">
        <v>215.86</v>
      </c>
      <c r="E850" s="46">
        <v>1900498</v>
      </c>
      <c r="F850" s="46" t="s">
        <v>880</v>
      </c>
      <c r="G850" s="25">
        <f t="shared" si="17"/>
        <v>2.5294172148614846E-2</v>
      </c>
    </row>
    <row r="851" spans="1:7">
      <c r="A851" s="46">
        <v>214.78</v>
      </c>
      <c r="B851" s="46">
        <v>217.39</v>
      </c>
      <c r="C851" s="46">
        <v>207.755</v>
      </c>
      <c r="D851" s="46">
        <v>207.755</v>
      </c>
      <c r="E851" s="46">
        <v>1827344</v>
      </c>
      <c r="F851" s="46" t="s">
        <v>881</v>
      </c>
      <c r="G851" s="25">
        <f t="shared" si="17"/>
        <v>3.3813867295612754E-2</v>
      </c>
    </row>
    <row r="852" spans="1:7">
      <c r="A852" s="46">
        <v>210.87</v>
      </c>
      <c r="B852" s="46">
        <v>211.37</v>
      </c>
      <c r="C852" s="46">
        <v>202.44</v>
      </c>
      <c r="D852" s="46">
        <v>203.36</v>
      </c>
      <c r="E852" s="46">
        <v>1732451</v>
      </c>
      <c r="F852" s="46" t="s">
        <v>882</v>
      </c>
      <c r="G852" s="25">
        <f t="shared" si="17"/>
        <v>3.6929583005507416E-2</v>
      </c>
    </row>
    <row r="853" spans="1:7">
      <c r="A853" s="46">
        <v>202.3</v>
      </c>
      <c r="B853" s="46">
        <v>205.38</v>
      </c>
      <c r="C853" s="46">
        <v>201.15</v>
      </c>
      <c r="D853" s="46">
        <v>204.34</v>
      </c>
      <c r="E853" s="46">
        <v>1445539</v>
      </c>
      <c r="F853" s="46" t="s">
        <v>883</v>
      </c>
      <c r="G853" s="25">
        <f t="shared" si="17"/>
        <v>-9.9833610648918381E-3</v>
      </c>
    </row>
    <row r="854" spans="1:7">
      <c r="A854" s="46">
        <v>203.67</v>
      </c>
      <c r="B854" s="46">
        <v>209.37</v>
      </c>
      <c r="C854" s="46">
        <v>202.04</v>
      </c>
      <c r="D854" s="46">
        <v>207.72</v>
      </c>
      <c r="E854" s="46">
        <v>1539871</v>
      </c>
      <c r="F854" s="46" t="s">
        <v>884</v>
      </c>
      <c r="G854" s="25">
        <f t="shared" si="17"/>
        <v>-1.9497400346620508E-2</v>
      </c>
    </row>
    <row r="855" spans="1:7">
      <c r="A855" s="46">
        <v>206.11</v>
      </c>
      <c r="B855" s="46">
        <v>206.44</v>
      </c>
      <c r="C855" s="46">
        <v>200.18700000000001</v>
      </c>
      <c r="D855" s="46">
        <v>203.85</v>
      </c>
      <c r="E855" s="46">
        <v>1500838</v>
      </c>
      <c r="F855" s="46" t="s">
        <v>885</v>
      </c>
      <c r="G855" s="25">
        <f t="shared" si="17"/>
        <v>1.1086583272013728E-2</v>
      </c>
    </row>
    <row r="856" spans="1:7">
      <c r="A856" s="46">
        <v>205.74</v>
      </c>
      <c r="B856" s="46">
        <v>210.48</v>
      </c>
      <c r="C856" s="46">
        <v>205.1875</v>
      </c>
      <c r="D856" s="46">
        <v>208.51</v>
      </c>
      <c r="E856" s="46">
        <v>1867001</v>
      </c>
      <c r="F856" s="46" t="s">
        <v>886</v>
      </c>
      <c r="G856" s="25">
        <f t="shared" si="17"/>
        <v>-1.3284734545105703E-2</v>
      </c>
    </row>
    <row r="857" spans="1:7">
      <c r="A857" s="46">
        <v>206.5</v>
      </c>
      <c r="B857" s="46">
        <v>211.75</v>
      </c>
      <c r="C857" s="46">
        <v>205.38</v>
      </c>
      <c r="D857" s="46">
        <v>210.12</v>
      </c>
      <c r="E857" s="46">
        <v>1562918</v>
      </c>
      <c r="F857" s="46" t="s">
        <v>887</v>
      </c>
      <c r="G857" s="25">
        <f t="shared" si="17"/>
        <v>-1.7228250523510402E-2</v>
      </c>
    </row>
    <row r="858" spans="1:7">
      <c r="A858" s="46">
        <v>208.9</v>
      </c>
      <c r="B858" s="46">
        <v>211.68</v>
      </c>
      <c r="C858" s="46">
        <v>207.84</v>
      </c>
      <c r="D858" s="46">
        <v>209.27</v>
      </c>
      <c r="E858" s="46">
        <v>1871924</v>
      </c>
      <c r="F858" s="46" t="s">
        <v>888</v>
      </c>
      <c r="G858" s="25">
        <f t="shared" si="17"/>
        <v>-1.7680508434080311E-3</v>
      </c>
    </row>
    <row r="859" spans="1:7">
      <c r="A859" s="46">
        <v>211.09</v>
      </c>
      <c r="B859" s="46">
        <v>225.38</v>
      </c>
      <c r="C859" s="46">
        <v>210.94</v>
      </c>
      <c r="D859" s="46">
        <v>224.57</v>
      </c>
      <c r="E859" s="46">
        <v>2475058</v>
      </c>
      <c r="F859" s="46" t="s">
        <v>889</v>
      </c>
      <c r="G859" s="25">
        <f t="shared" si="17"/>
        <v>-6.0025827136304888E-2</v>
      </c>
    </row>
    <row r="860" spans="1:7">
      <c r="A860" s="46">
        <v>225.02</v>
      </c>
      <c r="B860" s="46">
        <v>225.12</v>
      </c>
      <c r="C860" s="46">
        <v>220.9</v>
      </c>
      <c r="D860" s="46">
        <v>222.84</v>
      </c>
      <c r="E860" s="46">
        <v>1302566</v>
      </c>
      <c r="F860" s="46" t="s">
        <v>890</v>
      </c>
      <c r="G860" s="25">
        <f t="shared" si="17"/>
        <v>9.7828038054210698E-3</v>
      </c>
    </row>
    <row r="861" spans="1:7">
      <c r="A861" s="46">
        <v>220.47</v>
      </c>
      <c r="B861" s="46">
        <v>222.6</v>
      </c>
      <c r="C861" s="46">
        <v>217.94</v>
      </c>
      <c r="D861" s="46">
        <v>218.19</v>
      </c>
      <c r="E861" s="46">
        <v>1798934</v>
      </c>
      <c r="F861" s="46" t="s">
        <v>891</v>
      </c>
      <c r="G861" s="25">
        <f t="shared" si="17"/>
        <v>1.0449608139694755E-2</v>
      </c>
    </row>
    <row r="862" spans="1:7">
      <c r="A862" s="46">
        <v>216.81</v>
      </c>
      <c r="B862" s="46">
        <v>218.51499999999999</v>
      </c>
      <c r="C862" s="46">
        <v>214.86</v>
      </c>
      <c r="D862" s="46">
        <v>216.99</v>
      </c>
      <c r="E862" s="46">
        <v>1912791</v>
      </c>
      <c r="F862" s="46" t="s">
        <v>892</v>
      </c>
      <c r="G862" s="25">
        <f t="shared" si="17"/>
        <v>-8.2953131480711928E-4</v>
      </c>
    </row>
    <row r="863" spans="1:7">
      <c r="A863" s="46">
        <v>218.54</v>
      </c>
      <c r="B863" s="46">
        <v>222.51</v>
      </c>
      <c r="C863" s="46">
        <v>217.01</v>
      </c>
      <c r="D863" s="46">
        <v>221.13</v>
      </c>
      <c r="E863" s="46">
        <v>2130844</v>
      </c>
      <c r="F863" s="46" t="s">
        <v>893</v>
      </c>
      <c r="G863" s="25">
        <f t="shared" si="17"/>
        <v>-1.1712567268122864E-2</v>
      </c>
    </row>
    <row r="864" spans="1:7">
      <c r="A864" s="46">
        <v>224.78</v>
      </c>
      <c r="B864" s="46">
        <v>227.95</v>
      </c>
      <c r="C864" s="46">
        <v>223.55500000000001</v>
      </c>
      <c r="D864" s="46">
        <v>227.36</v>
      </c>
      <c r="E864" s="46">
        <v>2033278</v>
      </c>
      <c r="F864" s="46" t="s">
        <v>894</v>
      </c>
      <c r="G864" s="25">
        <f t="shared" si="17"/>
        <v>-1.1347642505277977E-2</v>
      </c>
    </row>
    <row r="865" spans="1:7">
      <c r="A865" s="46">
        <v>229.59</v>
      </c>
      <c r="B865" s="46">
        <v>231.34</v>
      </c>
      <c r="C865" s="46">
        <v>226.82</v>
      </c>
      <c r="D865" s="46">
        <v>230.79</v>
      </c>
      <c r="E865" s="46">
        <v>1356873</v>
      </c>
      <c r="F865" s="46" t="s">
        <v>895</v>
      </c>
      <c r="G865" s="25">
        <f t="shared" ref="G865:G928" si="18">A865/D865-1</f>
        <v>-5.1995320421162061E-3</v>
      </c>
    </row>
    <row r="866" spans="1:7">
      <c r="A866" s="46">
        <v>229.71</v>
      </c>
      <c r="B866" s="46">
        <v>232.47</v>
      </c>
      <c r="C866" s="46">
        <v>228.35</v>
      </c>
      <c r="D866" s="46">
        <v>230.71</v>
      </c>
      <c r="E866" s="46">
        <v>1355160</v>
      </c>
      <c r="F866" s="46" t="s">
        <v>896</v>
      </c>
      <c r="G866" s="25">
        <f t="shared" si="18"/>
        <v>-4.3344458410992104E-3</v>
      </c>
    </row>
    <row r="867" spans="1:7">
      <c r="A867" s="46">
        <v>233.71</v>
      </c>
      <c r="B867" s="46">
        <v>236.95</v>
      </c>
      <c r="C867" s="46">
        <v>231.51</v>
      </c>
      <c r="D867" s="46">
        <v>235.9</v>
      </c>
      <c r="E867" s="46">
        <v>1646995</v>
      </c>
      <c r="F867" s="46" t="s">
        <v>897</v>
      </c>
      <c r="G867" s="25">
        <f t="shared" si="18"/>
        <v>-9.2835947435353505E-3</v>
      </c>
    </row>
    <row r="868" spans="1:7">
      <c r="A868" s="46">
        <v>238.26</v>
      </c>
      <c r="B868" s="46">
        <v>239.64</v>
      </c>
      <c r="C868" s="46">
        <v>235.81</v>
      </c>
      <c r="D868" s="46">
        <v>237.03</v>
      </c>
      <c r="E868" s="46">
        <v>1384090</v>
      </c>
      <c r="F868" s="46" t="s">
        <v>898</v>
      </c>
      <c r="G868" s="25">
        <f t="shared" si="18"/>
        <v>5.1892165548663716E-3</v>
      </c>
    </row>
    <row r="869" spans="1:7">
      <c r="A869" s="46">
        <v>238.37</v>
      </c>
      <c r="B869" s="46">
        <v>238.57</v>
      </c>
      <c r="C869" s="46">
        <v>234.73</v>
      </c>
      <c r="D869" s="46">
        <v>236.75</v>
      </c>
      <c r="E869" s="46">
        <v>1744533</v>
      </c>
      <c r="F869" s="46" t="s">
        <v>899</v>
      </c>
      <c r="G869" s="25">
        <f t="shared" si="18"/>
        <v>6.8426610348468753E-3</v>
      </c>
    </row>
    <row r="870" spans="1:7">
      <c r="A870" s="46">
        <v>236.02</v>
      </c>
      <c r="B870" s="46">
        <v>242.56</v>
      </c>
      <c r="C870" s="46">
        <v>235.23</v>
      </c>
      <c r="D870" s="46">
        <v>238.38</v>
      </c>
      <c r="E870" s="46">
        <v>1625052</v>
      </c>
      <c r="F870" s="46" t="s">
        <v>900</v>
      </c>
      <c r="G870" s="25">
        <f t="shared" si="18"/>
        <v>-9.9001594093464096E-3</v>
      </c>
    </row>
    <row r="871" spans="1:7">
      <c r="A871" s="46">
        <v>237.85</v>
      </c>
      <c r="B871" s="46">
        <v>240.79</v>
      </c>
      <c r="C871" s="46">
        <v>236.63</v>
      </c>
      <c r="D871" s="46">
        <v>239.76</v>
      </c>
      <c r="E871" s="46">
        <v>1942971</v>
      </c>
      <c r="F871" s="46" t="s">
        <v>901</v>
      </c>
      <c r="G871" s="25">
        <f t="shared" si="18"/>
        <v>-7.966299632966245E-3</v>
      </c>
    </row>
    <row r="872" spans="1:7">
      <c r="A872" s="46">
        <v>232.88</v>
      </c>
      <c r="B872" s="46">
        <v>238.68</v>
      </c>
      <c r="C872" s="46">
        <v>232.435</v>
      </c>
      <c r="D872" s="46">
        <v>238.16</v>
      </c>
      <c r="E872" s="46">
        <v>1532477</v>
      </c>
      <c r="F872" s="46" t="s">
        <v>902</v>
      </c>
      <c r="G872" s="25">
        <f t="shared" si="18"/>
        <v>-2.2169969768223052E-2</v>
      </c>
    </row>
    <row r="873" spans="1:7">
      <c r="A873" s="46">
        <v>239.13</v>
      </c>
      <c r="B873" s="46">
        <v>245.36</v>
      </c>
      <c r="C873" s="46">
        <v>238.64</v>
      </c>
      <c r="D873" s="46">
        <v>241</v>
      </c>
      <c r="E873" s="46">
        <v>2216193</v>
      </c>
      <c r="F873" s="46" t="s">
        <v>903</v>
      </c>
      <c r="G873" s="25">
        <f t="shared" si="18"/>
        <v>-7.7593360995851235E-3</v>
      </c>
    </row>
    <row r="874" spans="1:7">
      <c r="A874" s="46">
        <v>240.32</v>
      </c>
      <c r="B874" s="46">
        <v>241.68</v>
      </c>
      <c r="C874" s="46">
        <v>236.55</v>
      </c>
      <c r="D874" s="46">
        <v>237.68</v>
      </c>
      <c r="E874" s="46">
        <v>1861078</v>
      </c>
      <c r="F874" s="46" t="s">
        <v>904</v>
      </c>
      <c r="G874" s="25">
        <f t="shared" si="18"/>
        <v>1.1107371255469456E-2</v>
      </c>
    </row>
    <row r="875" spans="1:7">
      <c r="A875" s="46">
        <v>242.46</v>
      </c>
      <c r="B875" s="46">
        <v>242.92</v>
      </c>
      <c r="C875" s="46">
        <v>239.61</v>
      </c>
      <c r="D875" s="46">
        <v>242.07</v>
      </c>
      <c r="E875" s="46">
        <v>1180534</v>
      </c>
      <c r="F875" s="46" t="s">
        <v>905</v>
      </c>
      <c r="G875" s="25">
        <f t="shared" si="18"/>
        <v>1.611104226050486E-3</v>
      </c>
    </row>
    <row r="876" spans="1:7">
      <c r="A876" s="46">
        <v>242.18</v>
      </c>
      <c r="B876" s="46">
        <v>243.31</v>
      </c>
      <c r="C876" s="46">
        <v>236.44</v>
      </c>
      <c r="D876" s="46">
        <v>239.04</v>
      </c>
      <c r="E876" s="46">
        <v>1802776</v>
      </c>
      <c r="F876" s="46" t="s">
        <v>906</v>
      </c>
      <c r="G876" s="25">
        <f t="shared" si="18"/>
        <v>1.313587684069617E-2</v>
      </c>
    </row>
    <row r="877" spans="1:7">
      <c r="A877" s="46">
        <v>238.48</v>
      </c>
      <c r="B877" s="46">
        <v>244.99</v>
      </c>
      <c r="C877" s="46">
        <v>233.53</v>
      </c>
      <c r="D877" s="46">
        <v>234.42500000000001</v>
      </c>
      <c r="E877" s="46">
        <v>3274031</v>
      </c>
      <c r="F877" s="46" t="s">
        <v>907</v>
      </c>
      <c r="G877" s="25">
        <f t="shared" si="18"/>
        <v>1.7297643169457144E-2</v>
      </c>
    </row>
    <row r="878" spans="1:7">
      <c r="A878" s="46">
        <v>228.54</v>
      </c>
      <c r="B878" s="46">
        <v>231.495</v>
      </c>
      <c r="C878" s="46">
        <v>226.57</v>
      </c>
      <c r="D878" s="46">
        <v>227.31</v>
      </c>
      <c r="E878" s="46">
        <v>1333351</v>
      </c>
      <c r="F878" s="46" t="s">
        <v>908</v>
      </c>
      <c r="G878" s="25">
        <f t="shared" si="18"/>
        <v>5.411112577537347E-3</v>
      </c>
    </row>
    <row r="879" spans="1:7">
      <c r="A879" s="46">
        <v>230.17</v>
      </c>
      <c r="B879" s="46">
        <v>230.95</v>
      </c>
      <c r="C879" s="46">
        <v>227.01009999999999</v>
      </c>
      <c r="D879" s="46">
        <v>228.65</v>
      </c>
      <c r="E879" s="46">
        <v>1941447</v>
      </c>
      <c r="F879" s="46" t="s">
        <v>909</v>
      </c>
      <c r="G879" s="25">
        <f t="shared" si="18"/>
        <v>6.647714848020847E-3</v>
      </c>
    </row>
    <row r="880" spans="1:7">
      <c r="A880" s="46">
        <v>230.54</v>
      </c>
      <c r="B880" s="46">
        <v>231.26</v>
      </c>
      <c r="C880" s="46">
        <v>221.21</v>
      </c>
      <c r="D880" s="46">
        <v>224.99</v>
      </c>
      <c r="E880" s="46">
        <v>2218437</v>
      </c>
      <c r="F880" s="46" t="s">
        <v>910</v>
      </c>
      <c r="G880" s="25">
        <f t="shared" si="18"/>
        <v>2.4667763011689381E-2</v>
      </c>
    </row>
    <row r="881" spans="1:7">
      <c r="A881" s="46">
        <v>225.34</v>
      </c>
      <c r="B881" s="46">
        <v>226.57</v>
      </c>
      <c r="C881" s="46">
        <v>219.45</v>
      </c>
      <c r="D881" s="46">
        <v>219.45</v>
      </c>
      <c r="E881" s="46">
        <v>2535409</v>
      </c>
      <c r="F881" s="46" t="s">
        <v>911</v>
      </c>
      <c r="G881" s="25">
        <f t="shared" si="18"/>
        <v>2.6839826839826886E-2</v>
      </c>
    </row>
    <row r="882" spans="1:7">
      <c r="A882" s="46">
        <v>216.79</v>
      </c>
      <c r="B882" s="46">
        <v>219.92</v>
      </c>
      <c r="C882" s="46">
        <v>214.08</v>
      </c>
      <c r="D882" s="46">
        <v>218.11</v>
      </c>
      <c r="E882" s="46">
        <v>2376861</v>
      </c>
      <c r="F882" s="46" t="s">
        <v>912</v>
      </c>
      <c r="G882" s="25">
        <f t="shared" si="18"/>
        <v>-6.0519921140709254E-3</v>
      </c>
    </row>
    <row r="883" spans="1:7">
      <c r="A883" s="46">
        <v>219.17</v>
      </c>
      <c r="B883" s="46">
        <v>221.8</v>
      </c>
      <c r="C883" s="46">
        <v>212.27</v>
      </c>
      <c r="D883" s="46">
        <v>213.21</v>
      </c>
      <c r="E883" s="46">
        <v>3170937</v>
      </c>
      <c r="F883" s="46" t="s">
        <v>913</v>
      </c>
      <c r="G883" s="25">
        <f t="shared" si="18"/>
        <v>2.7953660710097861E-2</v>
      </c>
    </row>
    <row r="884" spans="1:7">
      <c r="A884" s="46">
        <v>211.85</v>
      </c>
      <c r="B884" s="46">
        <v>217.49</v>
      </c>
      <c r="C884" s="46">
        <v>203.31</v>
      </c>
      <c r="D884" s="46">
        <v>207.44</v>
      </c>
      <c r="E884" s="46">
        <v>6588323</v>
      </c>
      <c r="F884" s="46" t="s">
        <v>914</v>
      </c>
      <c r="G884" s="25">
        <f t="shared" si="18"/>
        <v>2.1259159274971129E-2</v>
      </c>
    </row>
    <row r="885" spans="1:7">
      <c r="A885" s="46">
        <v>224.75</v>
      </c>
      <c r="B885" s="46">
        <v>225.44</v>
      </c>
      <c r="C885" s="46">
        <v>219.58</v>
      </c>
      <c r="D885" s="46">
        <v>220.91</v>
      </c>
      <c r="E885" s="46">
        <v>2876925</v>
      </c>
      <c r="F885" s="46" t="s">
        <v>915</v>
      </c>
      <c r="G885" s="25">
        <f t="shared" si="18"/>
        <v>1.7382644515866241E-2</v>
      </c>
    </row>
    <row r="886" spans="1:7">
      <c r="A886" s="46">
        <v>219.22</v>
      </c>
      <c r="B886" s="46">
        <v>221.08500000000001</v>
      </c>
      <c r="C886" s="46">
        <v>214.17</v>
      </c>
      <c r="D886" s="46">
        <v>215</v>
      </c>
      <c r="E886" s="46">
        <v>1934449</v>
      </c>
      <c r="F886" s="46" t="s">
        <v>916</v>
      </c>
      <c r="G886" s="25">
        <f t="shared" si="18"/>
        <v>1.9627906976744214E-2</v>
      </c>
    </row>
    <row r="887" spans="1:7">
      <c r="A887" s="46">
        <v>214.44</v>
      </c>
      <c r="B887" s="46">
        <v>214.61500000000001</v>
      </c>
      <c r="C887" s="46">
        <v>208.81</v>
      </c>
      <c r="D887" s="46">
        <v>210.45</v>
      </c>
      <c r="E887" s="46">
        <v>1951975</v>
      </c>
      <c r="F887" s="46" t="s">
        <v>917</v>
      </c>
      <c r="G887" s="25">
        <f t="shared" si="18"/>
        <v>1.8959372772630045E-2</v>
      </c>
    </row>
    <row r="888" spans="1:7">
      <c r="A888" s="46">
        <v>206.26</v>
      </c>
      <c r="B888" s="46">
        <v>213.66</v>
      </c>
      <c r="C888" s="46">
        <v>205.32</v>
      </c>
      <c r="D888" s="46">
        <v>211.43</v>
      </c>
      <c r="E888" s="46">
        <v>1523247</v>
      </c>
      <c r="F888" s="46" t="s">
        <v>918</v>
      </c>
      <c r="G888" s="25">
        <f t="shared" si="18"/>
        <v>-2.4452537482854919E-2</v>
      </c>
    </row>
    <row r="889" spans="1:7">
      <c r="A889" s="46">
        <v>210.92</v>
      </c>
      <c r="B889" s="46">
        <v>211.17</v>
      </c>
      <c r="C889" s="46">
        <v>207.36500000000001</v>
      </c>
      <c r="D889" s="46">
        <v>207.88</v>
      </c>
      <c r="E889" s="46">
        <v>2231082</v>
      </c>
      <c r="F889" s="46" t="s">
        <v>919</v>
      </c>
      <c r="G889" s="25">
        <f t="shared" si="18"/>
        <v>1.4623821435443496E-2</v>
      </c>
    </row>
    <row r="890" spans="1:7">
      <c r="A890" s="46">
        <v>204.31</v>
      </c>
      <c r="B890" s="46">
        <v>204.51</v>
      </c>
      <c r="C890" s="46">
        <v>197.30009999999999</v>
      </c>
      <c r="D890" s="46">
        <v>200.41</v>
      </c>
      <c r="E890" s="46">
        <v>1553657</v>
      </c>
      <c r="F890" s="46" t="s">
        <v>920</v>
      </c>
      <c r="G890" s="25">
        <f t="shared" si="18"/>
        <v>1.9460106781098885E-2</v>
      </c>
    </row>
    <row r="891" spans="1:7">
      <c r="A891" s="46">
        <v>202.06</v>
      </c>
      <c r="B891" s="46">
        <v>204.28649999999999</v>
      </c>
      <c r="C891" s="46">
        <v>196.1</v>
      </c>
      <c r="D891" s="46">
        <v>198.3</v>
      </c>
      <c r="E891" s="46">
        <v>1482975</v>
      </c>
      <c r="F891" s="46" t="s">
        <v>921</v>
      </c>
      <c r="G891" s="25">
        <f t="shared" si="18"/>
        <v>1.8961169944528455E-2</v>
      </c>
    </row>
    <row r="892" spans="1:7">
      <c r="A892" s="46">
        <v>202.13</v>
      </c>
      <c r="B892" s="46">
        <v>209.13499999999999</v>
      </c>
      <c r="C892" s="46">
        <v>201.07</v>
      </c>
      <c r="D892" s="46">
        <v>206.59</v>
      </c>
      <c r="E892" s="46">
        <v>1519936</v>
      </c>
      <c r="F892" s="46" t="s">
        <v>922</v>
      </c>
      <c r="G892" s="25">
        <f t="shared" si="18"/>
        <v>-2.1588653855462603E-2</v>
      </c>
    </row>
    <row r="893" spans="1:7">
      <c r="A893" s="46">
        <v>205.72</v>
      </c>
      <c r="B893" s="46">
        <v>208.14</v>
      </c>
      <c r="C893" s="46">
        <v>202.49</v>
      </c>
      <c r="D893" s="46">
        <v>207.48</v>
      </c>
      <c r="E893" s="46">
        <v>1197561</v>
      </c>
      <c r="F893" s="46" t="s">
        <v>923</v>
      </c>
      <c r="G893" s="25">
        <f t="shared" si="18"/>
        <v>-8.4827453248504936E-3</v>
      </c>
    </row>
    <row r="894" spans="1:7">
      <c r="A894" s="46">
        <v>208.81</v>
      </c>
      <c r="B894" s="46">
        <v>211.22</v>
      </c>
      <c r="C894" s="46">
        <v>205.73</v>
      </c>
      <c r="D894" s="46">
        <v>206.05</v>
      </c>
      <c r="E894" s="46">
        <v>1149400</v>
      </c>
      <c r="F894" s="46" t="s">
        <v>924</v>
      </c>
      <c r="G894" s="25">
        <f t="shared" si="18"/>
        <v>1.3394807085658877E-2</v>
      </c>
    </row>
    <row r="895" spans="1:7">
      <c r="A895" s="46">
        <v>208.71</v>
      </c>
      <c r="B895" s="46">
        <v>209.37</v>
      </c>
      <c r="C895" s="46">
        <v>204.25</v>
      </c>
      <c r="D895" s="46">
        <v>204.79</v>
      </c>
      <c r="E895" s="46">
        <v>1396773</v>
      </c>
      <c r="F895" s="46" t="s">
        <v>925</v>
      </c>
      <c r="G895" s="25">
        <f t="shared" si="18"/>
        <v>1.9141559646467243E-2</v>
      </c>
    </row>
    <row r="896" spans="1:7">
      <c r="A896" s="46">
        <v>205.35</v>
      </c>
      <c r="B896" s="46">
        <v>209.48</v>
      </c>
      <c r="C896" s="46">
        <v>204.33</v>
      </c>
      <c r="D896" s="46">
        <v>207.78</v>
      </c>
      <c r="E896" s="46">
        <v>1654648</v>
      </c>
      <c r="F896" s="46" t="s">
        <v>926</v>
      </c>
      <c r="G896" s="25">
        <f t="shared" si="18"/>
        <v>-1.1695062084897567E-2</v>
      </c>
    </row>
    <row r="897" spans="1:7">
      <c r="A897" s="46">
        <v>206.75</v>
      </c>
      <c r="B897" s="46">
        <v>207.32</v>
      </c>
      <c r="C897" s="46">
        <v>200.12</v>
      </c>
      <c r="D897" s="46">
        <v>203.06</v>
      </c>
      <c r="E897" s="46">
        <v>1432902</v>
      </c>
      <c r="F897" s="46" t="s">
        <v>927</v>
      </c>
      <c r="G897" s="25">
        <f t="shared" si="18"/>
        <v>1.8171968876194322E-2</v>
      </c>
    </row>
    <row r="898" spans="1:7">
      <c r="A898" s="46">
        <v>206.1</v>
      </c>
      <c r="B898" s="46">
        <v>206.33</v>
      </c>
      <c r="C898" s="46">
        <v>200</v>
      </c>
      <c r="D898" s="46">
        <v>201.07</v>
      </c>
      <c r="E898" s="46">
        <v>1459803</v>
      </c>
      <c r="F898" s="46" t="s">
        <v>928</v>
      </c>
      <c r="G898" s="25">
        <f t="shared" si="18"/>
        <v>2.5016163525140467E-2</v>
      </c>
    </row>
    <row r="899" spans="1:7">
      <c r="A899" s="46">
        <v>200.71</v>
      </c>
      <c r="B899" s="46">
        <v>203.38</v>
      </c>
      <c r="C899" s="46">
        <v>197.61</v>
      </c>
      <c r="D899" s="46">
        <v>201.46</v>
      </c>
      <c r="E899" s="46">
        <v>2224471</v>
      </c>
      <c r="F899" s="46" t="s">
        <v>929</v>
      </c>
      <c r="G899" s="25">
        <f t="shared" si="18"/>
        <v>-3.722823389258445E-3</v>
      </c>
    </row>
    <row r="900" spans="1:7">
      <c r="A900" s="46">
        <v>202.59</v>
      </c>
      <c r="B900" s="46">
        <v>203.85</v>
      </c>
      <c r="C900" s="46">
        <v>197.85</v>
      </c>
      <c r="D900" s="46">
        <v>201.85</v>
      </c>
      <c r="E900" s="46">
        <v>1655394</v>
      </c>
      <c r="F900" s="46" t="s">
        <v>930</v>
      </c>
      <c r="G900" s="25">
        <f t="shared" si="18"/>
        <v>3.6660886797126313E-3</v>
      </c>
    </row>
    <row r="901" spans="1:7">
      <c r="A901" s="46">
        <v>201.99</v>
      </c>
      <c r="B901" s="46">
        <v>211.47</v>
      </c>
      <c r="C901" s="46">
        <v>201.17</v>
      </c>
      <c r="D901" s="46">
        <v>209.02</v>
      </c>
      <c r="E901" s="46">
        <v>1662380</v>
      </c>
      <c r="F901" s="46" t="s">
        <v>931</v>
      </c>
      <c r="G901" s="25">
        <f t="shared" si="18"/>
        <v>-3.3633145153573851E-2</v>
      </c>
    </row>
    <row r="902" spans="1:7">
      <c r="A902" s="46">
        <v>207.94</v>
      </c>
      <c r="B902" s="46">
        <v>209.88</v>
      </c>
      <c r="C902" s="46">
        <v>205.88</v>
      </c>
      <c r="D902" s="46">
        <v>208.8</v>
      </c>
      <c r="E902" s="46">
        <v>1900789</v>
      </c>
      <c r="F902" s="46" t="s">
        <v>932</v>
      </c>
      <c r="G902" s="25">
        <f t="shared" si="18"/>
        <v>-4.1187739463601769E-3</v>
      </c>
    </row>
    <row r="903" spans="1:7">
      <c r="A903" s="46">
        <v>209.67</v>
      </c>
      <c r="B903" s="46">
        <v>209.845</v>
      </c>
      <c r="C903" s="46">
        <v>203.82</v>
      </c>
      <c r="D903" s="46">
        <v>207.61</v>
      </c>
      <c r="E903" s="46">
        <v>2270495</v>
      </c>
      <c r="F903" s="46" t="s">
        <v>933</v>
      </c>
      <c r="G903" s="25">
        <f t="shared" si="18"/>
        <v>9.9224507490003333E-3</v>
      </c>
    </row>
    <row r="904" spans="1:7">
      <c r="A904" s="46">
        <v>204.5</v>
      </c>
      <c r="B904" s="46">
        <v>206.93</v>
      </c>
      <c r="C904" s="46">
        <v>201.81</v>
      </c>
      <c r="D904" s="46">
        <v>202.9</v>
      </c>
      <c r="E904" s="46">
        <v>1611988</v>
      </c>
      <c r="F904" s="46" t="s">
        <v>934</v>
      </c>
      <c r="G904" s="25">
        <f t="shared" si="18"/>
        <v>7.8856579595860676E-3</v>
      </c>
    </row>
    <row r="905" spans="1:7">
      <c r="A905" s="46">
        <v>200.62</v>
      </c>
      <c r="B905" s="46">
        <v>203.7</v>
      </c>
      <c r="C905" s="46">
        <v>191.9</v>
      </c>
      <c r="D905" s="46">
        <v>192.91</v>
      </c>
      <c r="E905" s="46">
        <v>2582487</v>
      </c>
      <c r="F905" s="46" t="s">
        <v>935</v>
      </c>
      <c r="G905" s="25">
        <f t="shared" si="18"/>
        <v>3.9966823907521709E-2</v>
      </c>
    </row>
    <row r="906" spans="1:7">
      <c r="A906" s="46">
        <v>194.32</v>
      </c>
      <c r="B906" s="46">
        <v>197.65</v>
      </c>
      <c r="C906" s="46">
        <v>193.93</v>
      </c>
      <c r="D906" s="46">
        <v>195.63499999999999</v>
      </c>
      <c r="E906" s="46">
        <v>1859513</v>
      </c>
      <c r="F906" s="46" t="s">
        <v>936</v>
      </c>
      <c r="G906" s="25">
        <f t="shared" si="18"/>
        <v>-6.7217011270989113E-3</v>
      </c>
    </row>
    <row r="907" spans="1:7">
      <c r="A907" s="46">
        <v>192.08</v>
      </c>
      <c r="B907" s="46">
        <v>195.5</v>
      </c>
      <c r="C907" s="46">
        <v>189.9</v>
      </c>
      <c r="D907" s="46">
        <v>191.8</v>
      </c>
      <c r="E907" s="46">
        <v>3802396</v>
      </c>
      <c r="F907" s="46" t="s">
        <v>937</v>
      </c>
      <c r="G907" s="25">
        <f t="shared" si="18"/>
        <v>1.4598540145984717E-3</v>
      </c>
    </row>
    <row r="908" spans="1:7">
      <c r="A908" s="46">
        <v>190.71</v>
      </c>
      <c r="B908" s="46">
        <v>193.05</v>
      </c>
      <c r="C908" s="46">
        <v>186.83</v>
      </c>
      <c r="D908" s="46">
        <v>191.87</v>
      </c>
      <c r="E908" s="46">
        <v>2449418</v>
      </c>
      <c r="F908" s="46" t="s">
        <v>938</v>
      </c>
      <c r="G908" s="25">
        <f t="shared" si="18"/>
        <v>-6.0457601501016089E-3</v>
      </c>
    </row>
    <row r="909" spans="1:7">
      <c r="A909" s="46">
        <v>196.13</v>
      </c>
      <c r="B909" s="46">
        <v>200.15</v>
      </c>
      <c r="C909" s="46">
        <v>192.36</v>
      </c>
      <c r="D909" s="46">
        <v>194</v>
      </c>
      <c r="E909" s="46">
        <v>2409501</v>
      </c>
      <c r="F909" s="46" t="s">
        <v>939</v>
      </c>
      <c r="G909" s="25">
        <f t="shared" si="18"/>
        <v>1.0979381443299019E-2</v>
      </c>
    </row>
    <row r="910" spans="1:7">
      <c r="A910" s="46">
        <v>191.1</v>
      </c>
      <c r="B910" s="46">
        <v>195.33</v>
      </c>
      <c r="C910" s="46">
        <v>188.81</v>
      </c>
      <c r="D910" s="46">
        <v>194.63</v>
      </c>
      <c r="E910" s="46">
        <v>3184162</v>
      </c>
      <c r="F910" s="46" t="s">
        <v>940</v>
      </c>
      <c r="G910" s="25">
        <f t="shared" si="18"/>
        <v>-1.8136977855418013E-2</v>
      </c>
    </row>
    <row r="911" spans="1:7">
      <c r="A911" s="46">
        <v>194.97</v>
      </c>
      <c r="B911" s="46">
        <v>200.24</v>
      </c>
      <c r="C911" s="46">
        <v>193.76</v>
      </c>
      <c r="D911" s="46">
        <v>199</v>
      </c>
      <c r="E911" s="46">
        <v>3539903</v>
      </c>
      <c r="F911" s="46" t="s">
        <v>941</v>
      </c>
      <c r="G911" s="25">
        <f t="shared" si="18"/>
        <v>-2.0251256281407004E-2</v>
      </c>
    </row>
    <row r="912" spans="1:7">
      <c r="A912" s="46">
        <v>205.27</v>
      </c>
      <c r="B912" s="46">
        <v>208</v>
      </c>
      <c r="C912" s="46">
        <v>203.66</v>
      </c>
      <c r="D912" s="46">
        <v>206.8</v>
      </c>
      <c r="E912" s="46">
        <v>1602888</v>
      </c>
      <c r="F912" s="46" t="s">
        <v>942</v>
      </c>
      <c r="G912" s="25">
        <f t="shared" si="18"/>
        <v>-7.39845261121852E-3</v>
      </c>
    </row>
    <row r="913" spans="1:7">
      <c r="A913" s="46">
        <v>209.95</v>
      </c>
      <c r="B913" s="46">
        <v>216.965</v>
      </c>
      <c r="C913" s="46">
        <v>209.91</v>
      </c>
      <c r="D913" s="46">
        <v>216.35</v>
      </c>
      <c r="E913" s="46">
        <v>1595463</v>
      </c>
      <c r="F913" s="46" t="s">
        <v>943</v>
      </c>
      <c r="G913" s="25">
        <f t="shared" si="18"/>
        <v>-2.9581696325398643E-2</v>
      </c>
    </row>
    <row r="914" spans="1:7">
      <c r="A914" s="46">
        <v>218.6</v>
      </c>
      <c r="B914" s="46">
        <v>222.82</v>
      </c>
      <c r="C914" s="46">
        <v>218.15</v>
      </c>
      <c r="D914" s="46">
        <v>221.04</v>
      </c>
      <c r="E914" s="46">
        <v>1104591</v>
      </c>
      <c r="F914" s="46" t="s">
        <v>944</v>
      </c>
      <c r="G914" s="25">
        <f t="shared" si="18"/>
        <v>-1.1038726022439382E-2</v>
      </c>
    </row>
    <row r="915" spans="1:7">
      <c r="A915" s="46">
        <v>221.95</v>
      </c>
      <c r="B915" s="46">
        <v>222.57</v>
      </c>
      <c r="C915" s="46">
        <v>214.58</v>
      </c>
      <c r="D915" s="46">
        <v>215.29</v>
      </c>
      <c r="E915" s="46">
        <v>1351951</v>
      </c>
      <c r="F915" s="46" t="s">
        <v>945</v>
      </c>
      <c r="G915" s="25">
        <f t="shared" si="18"/>
        <v>3.0935017882855576E-2</v>
      </c>
    </row>
    <row r="916" spans="1:7">
      <c r="A916" s="46">
        <v>216.43</v>
      </c>
      <c r="B916" s="46">
        <v>222.84</v>
      </c>
      <c r="C916" s="46">
        <v>215.48410000000001</v>
      </c>
      <c r="D916" s="46">
        <v>221.45</v>
      </c>
      <c r="E916" s="46">
        <v>1374508</v>
      </c>
      <c r="F916" s="46" t="s">
        <v>946</v>
      </c>
      <c r="G916" s="25">
        <f t="shared" si="18"/>
        <v>-2.2668773989613866E-2</v>
      </c>
    </row>
    <row r="917" spans="1:7">
      <c r="A917" s="46">
        <v>217.79</v>
      </c>
      <c r="B917" s="46">
        <v>224.505</v>
      </c>
      <c r="C917" s="46">
        <v>216.97</v>
      </c>
      <c r="D917" s="46">
        <v>224.04</v>
      </c>
      <c r="E917" s="46">
        <v>1524403</v>
      </c>
      <c r="F917" s="46" t="s">
        <v>947</v>
      </c>
      <c r="G917" s="25">
        <f t="shared" si="18"/>
        <v>-2.7896804142117482E-2</v>
      </c>
    </row>
    <row r="918" spans="1:7">
      <c r="A918" s="46">
        <v>227.21</v>
      </c>
      <c r="B918" s="46">
        <v>227.34</v>
      </c>
      <c r="C918" s="46">
        <v>214.07</v>
      </c>
      <c r="D918" s="46">
        <v>216.4</v>
      </c>
      <c r="E918" s="46">
        <v>2099595</v>
      </c>
      <c r="F918" s="46" t="s">
        <v>948</v>
      </c>
      <c r="G918" s="25">
        <f t="shared" si="18"/>
        <v>4.995378927911287E-2</v>
      </c>
    </row>
    <row r="919" spans="1:7">
      <c r="A919" s="46">
        <v>216.39</v>
      </c>
      <c r="B919" s="46">
        <v>230</v>
      </c>
      <c r="C919" s="46">
        <v>212.2</v>
      </c>
      <c r="D919" s="46">
        <v>227.74</v>
      </c>
      <c r="E919" s="46">
        <v>2426279</v>
      </c>
      <c r="F919" s="46" t="s">
        <v>949</v>
      </c>
      <c r="G919" s="25">
        <f t="shared" si="18"/>
        <v>-4.9837534030034325E-2</v>
      </c>
    </row>
    <row r="920" spans="1:7">
      <c r="A920" s="46">
        <v>227.64</v>
      </c>
      <c r="B920" s="46">
        <v>230</v>
      </c>
      <c r="C920" s="46">
        <v>224.79499999999999</v>
      </c>
      <c r="D920" s="46">
        <v>228.4</v>
      </c>
      <c r="E920" s="46">
        <v>2046533</v>
      </c>
      <c r="F920" s="46" t="s">
        <v>950</v>
      </c>
      <c r="G920" s="25">
        <f t="shared" si="18"/>
        <v>-3.3274956217164142E-3</v>
      </c>
    </row>
    <row r="921" spans="1:7">
      <c r="A921" s="46">
        <v>229.16</v>
      </c>
      <c r="B921" s="46">
        <v>229.89</v>
      </c>
      <c r="C921" s="46">
        <v>224.44</v>
      </c>
      <c r="D921" s="46">
        <v>226.5</v>
      </c>
      <c r="E921" s="46">
        <v>2133035</v>
      </c>
      <c r="F921" s="46" t="s">
        <v>951</v>
      </c>
      <c r="G921" s="25">
        <f t="shared" si="18"/>
        <v>1.174392935982338E-2</v>
      </c>
    </row>
    <row r="922" spans="1:7">
      <c r="A922" s="46">
        <v>223.3</v>
      </c>
      <c r="B922" s="46">
        <v>226.06</v>
      </c>
      <c r="C922" s="46">
        <v>221.13499999999999</v>
      </c>
      <c r="D922" s="46">
        <v>223.41</v>
      </c>
      <c r="E922" s="46">
        <v>2562930</v>
      </c>
      <c r="F922" s="46" t="s">
        <v>952</v>
      </c>
      <c r="G922" s="25">
        <f t="shared" si="18"/>
        <v>-4.9236829148191497E-4</v>
      </c>
    </row>
    <row r="923" spans="1:7">
      <c r="A923" s="46">
        <v>222.58</v>
      </c>
      <c r="B923" s="46">
        <v>224.26</v>
      </c>
      <c r="C923" s="46">
        <v>216.17</v>
      </c>
      <c r="D923" s="46">
        <v>216.18</v>
      </c>
      <c r="E923" s="46">
        <v>1466130</v>
      </c>
      <c r="F923" s="46" t="s">
        <v>953</v>
      </c>
      <c r="G923" s="25">
        <f t="shared" si="18"/>
        <v>2.9604958830604211E-2</v>
      </c>
    </row>
    <row r="924" spans="1:7">
      <c r="A924" s="46">
        <v>218.39</v>
      </c>
      <c r="B924" s="46">
        <v>219.69</v>
      </c>
      <c r="C924" s="46">
        <v>214.88</v>
      </c>
      <c r="D924" s="46">
        <v>219.21</v>
      </c>
      <c r="E924" s="46">
        <v>1518961</v>
      </c>
      <c r="F924" s="46" t="s">
        <v>954</v>
      </c>
      <c r="G924" s="25">
        <f t="shared" si="18"/>
        <v>-3.7407052597966395E-3</v>
      </c>
    </row>
    <row r="925" spans="1:7">
      <c r="A925" s="46">
        <v>221.61</v>
      </c>
      <c r="B925" s="46">
        <v>222.98990000000001</v>
      </c>
      <c r="C925" s="46">
        <v>216.9</v>
      </c>
      <c r="D925" s="46">
        <v>222.28</v>
      </c>
      <c r="E925" s="46">
        <v>1496350</v>
      </c>
      <c r="F925" s="46" t="s">
        <v>955</v>
      </c>
      <c r="G925" s="25">
        <f t="shared" si="18"/>
        <v>-3.0142163037609748E-3</v>
      </c>
    </row>
    <row r="926" spans="1:7">
      <c r="A926" s="46">
        <v>219.07</v>
      </c>
      <c r="B926" s="46">
        <v>223.27</v>
      </c>
      <c r="C926" s="46">
        <v>212.905</v>
      </c>
      <c r="D926" s="46">
        <v>222.31</v>
      </c>
      <c r="E926" s="46">
        <v>1818012</v>
      </c>
      <c r="F926" s="46" t="s">
        <v>956</v>
      </c>
      <c r="G926" s="25">
        <f t="shared" si="18"/>
        <v>-1.4574243173946289E-2</v>
      </c>
    </row>
    <row r="927" spans="1:7">
      <c r="A927" s="46">
        <v>218.14</v>
      </c>
      <c r="B927" s="46">
        <v>221.17</v>
      </c>
      <c r="C927" s="46">
        <v>213.96</v>
      </c>
      <c r="D927" s="46">
        <v>215.06</v>
      </c>
      <c r="E927" s="46">
        <v>1722882</v>
      </c>
      <c r="F927" s="46" t="s">
        <v>957</v>
      </c>
      <c r="G927" s="25">
        <f t="shared" si="18"/>
        <v>1.4321584674044319E-2</v>
      </c>
    </row>
    <row r="928" spans="1:7">
      <c r="A928" s="46">
        <v>215.35</v>
      </c>
      <c r="B928" s="46">
        <v>223.4</v>
      </c>
      <c r="C928" s="46">
        <v>214.31</v>
      </c>
      <c r="D928" s="46">
        <v>221.21</v>
      </c>
      <c r="E928" s="46">
        <v>2031890</v>
      </c>
      <c r="F928" s="46" t="s">
        <v>958</v>
      </c>
      <c r="G928" s="25">
        <f t="shared" si="18"/>
        <v>-2.6490664978979339E-2</v>
      </c>
    </row>
    <row r="929" spans="1:7">
      <c r="A929" s="46">
        <v>225.18</v>
      </c>
      <c r="B929" s="46">
        <v>226.29</v>
      </c>
      <c r="C929" s="46">
        <v>220.61</v>
      </c>
      <c r="D929" s="46">
        <v>223.52</v>
      </c>
      <c r="E929" s="46">
        <v>1324225</v>
      </c>
      <c r="F929" s="46" t="s">
        <v>959</v>
      </c>
      <c r="G929" s="25">
        <f t="shared" ref="G929:G992" si="19">A929/D929-1</f>
        <v>7.4266284896205015E-3</v>
      </c>
    </row>
    <row r="930" spans="1:7">
      <c r="A930" s="46">
        <v>219.53</v>
      </c>
      <c r="B930" s="46">
        <v>223.3</v>
      </c>
      <c r="C930" s="46">
        <v>217.57</v>
      </c>
      <c r="D930" s="46">
        <v>221.12</v>
      </c>
      <c r="E930" s="46">
        <v>1569695</v>
      </c>
      <c r="F930" s="46" t="s">
        <v>960</v>
      </c>
      <c r="G930" s="25">
        <f t="shared" si="19"/>
        <v>-7.1906657018813158E-3</v>
      </c>
    </row>
    <row r="931" spans="1:7">
      <c r="A931" s="46">
        <v>223.69</v>
      </c>
      <c r="B931" s="46">
        <v>224.68</v>
      </c>
      <c r="C931" s="46">
        <v>215</v>
      </c>
      <c r="D931" s="46">
        <v>215</v>
      </c>
      <c r="E931" s="46">
        <v>2250577</v>
      </c>
      <c r="F931" s="46" t="s">
        <v>961</v>
      </c>
      <c r="G931" s="25">
        <f t="shared" si="19"/>
        <v>4.0418604651162759E-2</v>
      </c>
    </row>
    <row r="932" spans="1:7">
      <c r="A932" s="46">
        <v>211.69</v>
      </c>
      <c r="B932" s="46">
        <v>214.06</v>
      </c>
      <c r="C932" s="46">
        <v>207.24</v>
      </c>
      <c r="D932" s="46">
        <v>208.08</v>
      </c>
      <c r="E932" s="46">
        <v>2035959</v>
      </c>
      <c r="F932" s="46" t="s">
        <v>962</v>
      </c>
      <c r="G932" s="25">
        <f t="shared" si="19"/>
        <v>1.734909650134564E-2</v>
      </c>
    </row>
    <row r="933" spans="1:7">
      <c r="A933" s="46">
        <v>210.87</v>
      </c>
      <c r="B933" s="46">
        <v>217.89</v>
      </c>
      <c r="C933" s="46">
        <v>208.48</v>
      </c>
      <c r="D933" s="46">
        <v>210.74</v>
      </c>
      <c r="E933" s="46">
        <v>2690242</v>
      </c>
      <c r="F933" s="46" t="s">
        <v>963</v>
      </c>
      <c r="G933" s="25">
        <f t="shared" si="19"/>
        <v>6.1687387301878616E-4</v>
      </c>
    </row>
    <row r="934" spans="1:7">
      <c r="A934" s="46">
        <v>211.39</v>
      </c>
      <c r="B934" s="46">
        <v>217.31</v>
      </c>
      <c r="C934" s="46">
        <v>206.6</v>
      </c>
      <c r="D934" s="46">
        <v>214.7</v>
      </c>
      <c r="E934" s="46">
        <v>2253200</v>
      </c>
      <c r="F934" s="46" t="s">
        <v>964</v>
      </c>
      <c r="G934" s="25">
        <f t="shared" si="19"/>
        <v>-1.5416860735910531E-2</v>
      </c>
    </row>
    <row r="935" spans="1:7">
      <c r="A935" s="46">
        <v>208.71</v>
      </c>
      <c r="B935" s="46">
        <v>221.55</v>
      </c>
      <c r="C935" s="46">
        <v>207.18</v>
      </c>
      <c r="D935" s="46">
        <v>221.55</v>
      </c>
      <c r="E935" s="46">
        <v>3754694</v>
      </c>
      <c r="F935" s="46" t="s">
        <v>965</v>
      </c>
      <c r="G935" s="25">
        <f t="shared" si="19"/>
        <v>-5.7955314827352722E-2</v>
      </c>
    </row>
    <row r="936" spans="1:7">
      <c r="A936" s="46">
        <v>224.85</v>
      </c>
      <c r="B936" s="46">
        <v>232.27</v>
      </c>
      <c r="C936" s="46">
        <v>221.07</v>
      </c>
      <c r="D936" s="46">
        <v>232.07</v>
      </c>
      <c r="E936" s="46">
        <v>3014045</v>
      </c>
      <c r="F936" s="46" t="s">
        <v>966</v>
      </c>
      <c r="G936" s="25">
        <f t="shared" si="19"/>
        <v>-3.1111302624208248E-2</v>
      </c>
    </row>
    <row r="937" spans="1:7">
      <c r="A937" s="46">
        <v>233.98</v>
      </c>
      <c r="B937" s="46">
        <v>244.67</v>
      </c>
      <c r="C937" s="46">
        <v>231.13</v>
      </c>
      <c r="D937" s="46">
        <v>242.93</v>
      </c>
      <c r="E937" s="46">
        <v>3058231</v>
      </c>
      <c r="F937" s="46" t="s">
        <v>967</v>
      </c>
      <c r="G937" s="25">
        <f t="shared" si="19"/>
        <v>-3.6841888609887685E-2</v>
      </c>
    </row>
    <row r="938" spans="1:7">
      <c r="A938" s="46">
        <v>246.31</v>
      </c>
      <c r="B938" s="46">
        <v>246.99</v>
      </c>
      <c r="C938" s="46">
        <v>233.82</v>
      </c>
      <c r="D938" s="46">
        <v>236.99</v>
      </c>
      <c r="E938" s="46">
        <v>2135695</v>
      </c>
      <c r="F938" s="46" t="s">
        <v>968</v>
      </c>
      <c r="G938" s="25">
        <f t="shared" si="19"/>
        <v>3.9326553863032077E-2</v>
      </c>
    </row>
    <row r="939" spans="1:7">
      <c r="A939" s="46">
        <v>238.11</v>
      </c>
      <c r="B939" s="46">
        <v>242</v>
      </c>
      <c r="C939" s="46">
        <v>236.14</v>
      </c>
      <c r="D939" s="46">
        <v>239.5</v>
      </c>
      <c r="E939" s="46">
        <v>1648169</v>
      </c>
      <c r="F939" s="46" t="s">
        <v>969</v>
      </c>
      <c r="G939" s="25">
        <f t="shared" si="19"/>
        <v>-5.8037578288099301E-3</v>
      </c>
    </row>
    <row r="940" spans="1:7">
      <c r="A940" s="46">
        <v>240.66</v>
      </c>
      <c r="B940" s="46">
        <v>242.23500000000001</v>
      </c>
      <c r="C940" s="46">
        <v>234.15</v>
      </c>
      <c r="D940" s="46">
        <v>239.99</v>
      </c>
      <c r="E940" s="46">
        <v>2421419</v>
      </c>
      <c r="F940" s="46" t="s">
        <v>970</v>
      </c>
      <c r="G940" s="25">
        <f t="shared" si="19"/>
        <v>2.7917829909578362E-3</v>
      </c>
    </row>
    <row r="941" spans="1:7">
      <c r="A941" s="46">
        <v>239.3</v>
      </c>
      <c r="B941" s="46">
        <v>246.3</v>
      </c>
      <c r="C941" s="46">
        <v>238.5</v>
      </c>
      <c r="D941" s="46">
        <v>241.45</v>
      </c>
      <c r="E941" s="46">
        <v>2913611</v>
      </c>
      <c r="F941" s="46" t="s">
        <v>971</v>
      </c>
      <c r="G941" s="25">
        <f t="shared" si="19"/>
        <v>-8.9045351004347628E-3</v>
      </c>
    </row>
    <row r="942" spans="1:7">
      <c r="A942" s="46">
        <v>243.26</v>
      </c>
      <c r="B942" s="46">
        <v>244.59</v>
      </c>
      <c r="C942" s="46">
        <v>235.95</v>
      </c>
      <c r="D942" s="46">
        <v>236.29</v>
      </c>
      <c r="E942" s="46">
        <v>3152399</v>
      </c>
      <c r="F942" s="46" t="s">
        <v>972</v>
      </c>
      <c r="G942" s="25">
        <f t="shared" si="19"/>
        <v>2.9497651191332741E-2</v>
      </c>
    </row>
    <row r="943" spans="1:7">
      <c r="A943" s="46">
        <v>235.35</v>
      </c>
      <c r="B943" s="46">
        <v>247.93</v>
      </c>
      <c r="C943" s="46">
        <v>235.07</v>
      </c>
      <c r="D943" s="46">
        <v>244.44</v>
      </c>
      <c r="E943" s="46">
        <v>3849143</v>
      </c>
      <c r="F943" s="46" t="s">
        <v>973</v>
      </c>
      <c r="G943" s="25">
        <f t="shared" si="19"/>
        <v>-3.7187039764359331E-2</v>
      </c>
    </row>
    <row r="944" spans="1:7">
      <c r="A944" s="46">
        <v>244.52</v>
      </c>
      <c r="B944" s="46">
        <v>255.64</v>
      </c>
      <c r="C944" s="46">
        <v>244.44</v>
      </c>
      <c r="D944" s="46">
        <v>253.04</v>
      </c>
      <c r="E944" s="46">
        <v>2484412</v>
      </c>
      <c r="F944" s="46" t="s">
        <v>974</v>
      </c>
      <c r="G944" s="25">
        <f t="shared" si="19"/>
        <v>-3.3670565918431761E-2</v>
      </c>
    </row>
    <row r="945" spans="1:7">
      <c r="A945" s="46">
        <v>255.12</v>
      </c>
      <c r="B945" s="46">
        <v>259.72000000000003</v>
      </c>
      <c r="C945" s="46">
        <v>250.29</v>
      </c>
      <c r="D945" s="46">
        <v>250.29</v>
      </c>
      <c r="E945" s="46">
        <v>3253919</v>
      </c>
      <c r="F945" s="46" t="s">
        <v>975</v>
      </c>
      <c r="G945" s="25">
        <f t="shared" si="19"/>
        <v>1.9297614766870419E-2</v>
      </c>
    </row>
    <row r="946" spans="1:7">
      <c r="A946" s="46">
        <v>252.34</v>
      </c>
      <c r="B946" s="46">
        <v>276.32</v>
      </c>
      <c r="C946" s="46">
        <v>251.52</v>
      </c>
      <c r="D946" s="46">
        <v>275</v>
      </c>
      <c r="E946" s="46">
        <v>6845303</v>
      </c>
      <c r="F946" s="46" t="s">
        <v>976</v>
      </c>
      <c r="G946" s="25">
        <f t="shared" si="19"/>
        <v>-8.2400000000000029E-2</v>
      </c>
    </row>
    <row r="947" spans="1:7">
      <c r="A947" s="46">
        <v>294.57</v>
      </c>
      <c r="B947" s="46">
        <v>308</v>
      </c>
      <c r="C947" s="46">
        <v>293.81</v>
      </c>
      <c r="D947" s="46">
        <v>303.32</v>
      </c>
      <c r="E947" s="46">
        <v>2496811</v>
      </c>
      <c r="F947" s="46" t="s">
        <v>977</v>
      </c>
      <c r="G947" s="25">
        <f t="shared" si="19"/>
        <v>-2.8847421864697353E-2</v>
      </c>
    </row>
    <row r="948" spans="1:7">
      <c r="A948" s="46">
        <v>302.89999999999998</v>
      </c>
      <c r="B948" s="46">
        <v>307.37</v>
      </c>
      <c r="C948" s="46">
        <v>294.93</v>
      </c>
      <c r="D948" s="46">
        <v>297.08</v>
      </c>
      <c r="E948" s="46">
        <v>2161221</v>
      </c>
      <c r="F948" s="46" t="s">
        <v>978</v>
      </c>
      <c r="G948" s="25">
        <f t="shared" si="19"/>
        <v>1.9590682644405444E-2</v>
      </c>
    </row>
    <row r="949" spans="1:7">
      <c r="A949" s="46">
        <v>294.86</v>
      </c>
      <c r="B949" s="46">
        <v>295.69</v>
      </c>
      <c r="C949" s="46">
        <v>278.04000000000002</v>
      </c>
      <c r="D949" s="46">
        <v>278.5</v>
      </c>
      <c r="E949" s="46">
        <v>2660041</v>
      </c>
      <c r="F949" s="46" t="s">
        <v>979</v>
      </c>
      <c r="G949" s="25">
        <f t="shared" si="19"/>
        <v>5.8743267504488328E-2</v>
      </c>
    </row>
    <row r="950" spans="1:7">
      <c r="A950" s="46">
        <v>276.35000000000002</v>
      </c>
      <c r="B950" s="46">
        <v>280.27999999999997</v>
      </c>
      <c r="C950" s="46">
        <v>273.41000000000003</v>
      </c>
      <c r="D950" s="46">
        <v>278.99</v>
      </c>
      <c r="E950" s="46">
        <v>1127067</v>
      </c>
      <c r="F950" s="46" t="s">
        <v>980</v>
      </c>
      <c r="G950" s="25">
        <f t="shared" si="19"/>
        <v>-9.4627047564428413E-3</v>
      </c>
    </row>
    <row r="951" spans="1:7">
      <c r="A951" s="46">
        <v>279.7</v>
      </c>
      <c r="B951" s="46">
        <v>287.14999999999998</v>
      </c>
      <c r="C951" s="46">
        <v>278.95</v>
      </c>
      <c r="D951" s="46">
        <v>286.10000000000002</v>
      </c>
      <c r="E951" s="46">
        <v>1582532</v>
      </c>
      <c r="F951" s="46" t="s">
        <v>981</v>
      </c>
      <c r="G951" s="25">
        <f t="shared" si="19"/>
        <v>-2.2369800768962E-2</v>
      </c>
    </row>
    <row r="952" spans="1:7">
      <c r="A952" s="46">
        <v>285.22000000000003</v>
      </c>
      <c r="B952" s="46">
        <v>286.25</v>
      </c>
      <c r="C952" s="46">
        <v>278.6001</v>
      </c>
      <c r="D952" s="46">
        <v>279.17</v>
      </c>
      <c r="E952" s="46">
        <v>1133618</v>
      </c>
      <c r="F952" s="46" t="s">
        <v>982</v>
      </c>
      <c r="G952" s="25">
        <f t="shared" si="19"/>
        <v>2.1671383028262436E-2</v>
      </c>
    </row>
    <row r="953" spans="1:7">
      <c r="A953" s="46">
        <v>277.85000000000002</v>
      </c>
      <c r="B953" s="46">
        <v>286.39999999999998</v>
      </c>
      <c r="C953" s="46">
        <v>276.19</v>
      </c>
      <c r="D953" s="46">
        <v>281.06</v>
      </c>
      <c r="E953" s="46">
        <v>1138837</v>
      </c>
      <c r="F953" s="46" t="s">
        <v>983</v>
      </c>
      <c r="G953" s="25">
        <f t="shared" si="19"/>
        <v>-1.1421048886358753E-2</v>
      </c>
    </row>
    <row r="954" spans="1:7">
      <c r="A954" s="46">
        <v>278.95999999999998</v>
      </c>
      <c r="B954" s="46">
        <v>286.68</v>
      </c>
      <c r="C954" s="46">
        <v>278.47000000000003</v>
      </c>
      <c r="D954" s="46">
        <v>286.27999999999997</v>
      </c>
      <c r="E954" s="46">
        <v>1391474</v>
      </c>
      <c r="F954" s="46" t="s">
        <v>984</v>
      </c>
      <c r="G954" s="25">
        <f t="shared" si="19"/>
        <v>-2.556937264216852E-2</v>
      </c>
    </row>
    <row r="955" spans="1:7">
      <c r="A955" s="46">
        <v>289.86</v>
      </c>
      <c r="B955" s="46">
        <v>293</v>
      </c>
      <c r="C955" s="46">
        <v>287.08</v>
      </c>
      <c r="D955" s="46">
        <v>290.04000000000002</v>
      </c>
      <c r="E955" s="46">
        <v>959831</v>
      </c>
      <c r="F955" s="46" t="s">
        <v>985</v>
      </c>
      <c r="G955" s="25">
        <f t="shared" si="19"/>
        <v>-6.2060405461317192E-4</v>
      </c>
    </row>
    <row r="956" spans="1:7">
      <c r="A956" s="46">
        <v>291.82</v>
      </c>
      <c r="B956" s="46">
        <v>293.56</v>
      </c>
      <c r="C956" s="46">
        <v>286.12</v>
      </c>
      <c r="D956" s="46">
        <v>286.38</v>
      </c>
      <c r="E956" s="46">
        <v>1329548</v>
      </c>
      <c r="F956" s="46" t="s">
        <v>986</v>
      </c>
      <c r="G956" s="25">
        <f t="shared" si="19"/>
        <v>1.8995739925972366E-2</v>
      </c>
    </row>
    <row r="957" spans="1:7">
      <c r="A957" s="46">
        <v>288.67</v>
      </c>
      <c r="B957" s="46">
        <v>291.77</v>
      </c>
      <c r="C957" s="46">
        <v>283.25</v>
      </c>
      <c r="D957" s="46">
        <v>290.95</v>
      </c>
      <c r="E957" s="46">
        <v>1939712</v>
      </c>
      <c r="F957" s="46" t="s">
        <v>987</v>
      </c>
      <c r="G957" s="25">
        <f t="shared" si="19"/>
        <v>-7.836398006530243E-3</v>
      </c>
    </row>
    <row r="958" spans="1:7">
      <c r="A958" s="46">
        <v>295.92</v>
      </c>
      <c r="B958" s="46">
        <v>303.8</v>
      </c>
      <c r="C958" s="46">
        <v>293.33999999999997</v>
      </c>
      <c r="D958" s="46">
        <v>301.99</v>
      </c>
      <c r="E958" s="46">
        <v>1488893</v>
      </c>
      <c r="F958" s="46" t="s">
        <v>988</v>
      </c>
      <c r="G958" s="25">
        <f t="shared" si="19"/>
        <v>-2.0100003311367853E-2</v>
      </c>
    </row>
    <row r="959" spans="1:7">
      <c r="A959" s="46">
        <v>302.25</v>
      </c>
      <c r="B959" s="46">
        <v>308.97000000000003</v>
      </c>
      <c r="C959" s="46">
        <v>301.08999999999997</v>
      </c>
      <c r="D959" s="46">
        <v>306.5</v>
      </c>
      <c r="E959" s="46">
        <v>1561520</v>
      </c>
      <c r="F959" s="46" t="s">
        <v>989</v>
      </c>
      <c r="G959" s="25">
        <f t="shared" si="19"/>
        <v>-1.3866231647634564E-2</v>
      </c>
    </row>
    <row r="960" spans="1:7">
      <c r="A960" s="46">
        <v>305.54000000000002</v>
      </c>
      <c r="B960" s="46">
        <v>306.07</v>
      </c>
      <c r="C960" s="46">
        <v>301.2</v>
      </c>
      <c r="D960" s="46">
        <v>303.995</v>
      </c>
      <c r="E960" s="46">
        <v>1470411</v>
      </c>
      <c r="F960" s="46" t="s">
        <v>990</v>
      </c>
      <c r="G960" s="25">
        <f t="shared" si="19"/>
        <v>5.082320432901799E-3</v>
      </c>
    </row>
    <row r="961" spans="1:7">
      <c r="A961" s="46">
        <v>301.68</v>
      </c>
      <c r="B961" s="46">
        <v>307.85000000000002</v>
      </c>
      <c r="C961" s="46">
        <v>301.58999999999997</v>
      </c>
      <c r="D961" s="46">
        <v>305.08</v>
      </c>
      <c r="E961" s="46">
        <v>2733610</v>
      </c>
      <c r="F961" s="46" t="s">
        <v>991</v>
      </c>
      <c r="G961" s="25">
        <f t="shared" si="19"/>
        <v>-1.1144617805165735E-2</v>
      </c>
    </row>
    <row r="962" spans="1:7">
      <c r="A962" s="46">
        <v>304.44</v>
      </c>
      <c r="B962" s="46">
        <v>306.58999999999997</v>
      </c>
      <c r="C962" s="46">
        <v>299.52</v>
      </c>
      <c r="D962" s="46">
        <v>301.68</v>
      </c>
      <c r="E962" s="46">
        <v>1914753</v>
      </c>
      <c r="F962" s="46" t="s">
        <v>992</v>
      </c>
      <c r="G962" s="25">
        <f t="shared" si="19"/>
        <v>9.1487669053300635E-3</v>
      </c>
    </row>
    <row r="963" spans="1:7">
      <c r="A963" s="46">
        <v>302</v>
      </c>
      <c r="B963" s="46">
        <v>302.505</v>
      </c>
      <c r="C963" s="46">
        <v>298.35000000000002</v>
      </c>
      <c r="D963" s="46">
        <v>298.35000000000002</v>
      </c>
      <c r="E963" s="46">
        <v>1618904</v>
      </c>
      <c r="F963" s="46" t="s">
        <v>993</v>
      </c>
      <c r="G963" s="25">
        <f t="shared" si="19"/>
        <v>1.2233953410423881E-2</v>
      </c>
    </row>
    <row r="964" spans="1:7">
      <c r="A964" s="46">
        <v>294.95</v>
      </c>
      <c r="B964" s="46">
        <v>295.45830000000001</v>
      </c>
      <c r="C964" s="46">
        <v>285.32</v>
      </c>
      <c r="D964" s="46">
        <v>286.04000000000002</v>
      </c>
      <c r="E964" s="46">
        <v>1963579</v>
      </c>
      <c r="F964" s="46" t="s">
        <v>994</v>
      </c>
      <c r="G964" s="25">
        <f t="shared" si="19"/>
        <v>3.1149489581876466E-2</v>
      </c>
    </row>
    <row r="965" spans="1:7">
      <c r="A965" s="46">
        <v>286.87</v>
      </c>
      <c r="B965" s="46">
        <v>286.94</v>
      </c>
      <c r="C965" s="46">
        <v>282.27999999999997</v>
      </c>
      <c r="D965" s="46">
        <v>285.08999999999997</v>
      </c>
      <c r="E965" s="46">
        <v>1435113</v>
      </c>
      <c r="F965" s="46" t="s">
        <v>995</v>
      </c>
      <c r="G965" s="25">
        <f t="shared" si="19"/>
        <v>6.2436423585534584E-3</v>
      </c>
    </row>
    <row r="966" spans="1:7">
      <c r="A966" s="46">
        <v>281.08</v>
      </c>
      <c r="B966" s="46">
        <v>281.19</v>
      </c>
      <c r="C966" s="46">
        <v>273.64999999999998</v>
      </c>
      <c r="D966" s="46">
        <v>276.82</v>
      </c>
      <c r="E966" s="46">
        <v>1513251</v>
      </c>
      <c r="F966" s="46" t="s">
        <v>996</v>
      </c>
      <c r="G966" s="25">
        <f t="shared" si="19"/>
        <v>1.538906148399688E-2</v>
      </c>
    </row>
    <row r="967" spans="1:7">
      <c r="A967" s="46">
        <v>275.2</v>
      </c>
      <c r="B967" s="46">
        <v>284.52</v>
      </c>
      <c r="C967" s="46">
        <v>274.52</v>
      </c>
      <c r="D967" s="46">
        <v>284.52</v>
      </c>
      <c r="E967" s="46">
        <v>1639565</v>
      </c>
      <c r="F967" s="46" t="s">
        <v>997</v>
      </c>
      <c r="G967" s="25">
        <f t="shared" si="19"/>
        <v>-3.2756923942077854E-2</v>
      </c>
    </row>
    <row r="968" spans="1:7">
      <c r="A968" s="46">
        <v>286.44</v>
      </c>
      <c r="B968" s="46">
        <v>287.91000000000003</v>
      </c>
      <c r="C968" s="46">
        <v>281.74</v>
      </c>
      <c r="D968" s="46">
        <v>283.11</v>
      </c>
      <c r="E968" s="46">
        <v>1529268</v>
      </c>
      <c r="F968" s="46" t="s">
        <v>998</v>
      </c>
      <c r="G968" s="25">
        <f t="shared" si="19"/>
        <v>1.1762212567553165E-2</v>
      </c>
    </row>
    <row r="969" spans="1:7">
      <c r="A969" s="46">
        <v>283.27999999999997</v>
      </c>
      <c r="B969" s="46">
        <v>290.08999999999997</v>
      </c>
      <c r="C969" s="46">
        <v>279.51</v>
      </c>
      <c r="D969" s="46">
        <v>287.66000000000003</v>
      </c>
      <c r="E969" s="46">
        <v>1645980</v>
      </c>
      <c r="F969" s="46" t="s">
        <v>999</v>
      </c>
      <c r="G969" s="25">
        <f t="shared" si="19"/>
        <v>-1.5226308836821412E-2</v>
      </c>
    </row>
    <row r="970" spans="1:7">
      <c r="A970" s="46">
        <v>290.11</v>
      </c>
      <c r="B970" s="46">
        <v>291.2</v>
      </c>
      <c r="C970" s="46">
        <v>278.56</v>
      </c>
      <c r="D970" s="46">
        <v>283.31</v>
      </c>
      <c r="E970" s="46">
        <v>3152881</v>
      </c>
      <c r="F970" s="46" t="s">
        <v>1000</v>
      </c>
      <c r="G970" s="25">
        <f t="shared" si="19"/>
        <v>2.4001976633369893E-2</v>
      </c>
    </row>
    <row r="971" spans="1:7">
      <c r="A971" s="46">
        <v>282.95</v>
      </c>
      <c r="B971" s="46">
        <v>283.5</v>
      </c>
      <c r="C971" s="46">
        <v>276.52999999999997</v>
      </c>
      <c r="D971" s="46">
        <v>277.74</v>
      </c>
      <c r="E971" s="46">
        <v>1799941</v>
      </c>
      <c r="F971" s="46" t="s">
        <v>1001</v>
      </c>
      <c r="G971" s="25">
        <f t="shared" si="19"/>
        <v>1.8758551162957993E-2</v>
      </c>
    </row>
    <row r="972" spans="1:7">
      <c r="A972" s="46">
        <v>277.85000000000002</v>
      </c>
      <c r="B972" s="46">
        <v>279.77</v>
      </c>
      <c r="C972" s="46">
        <v>268.70999999999998</v>
      </c>
      <c r="D972" s="46">
        <v>273.55</v>
      </c>
      <c r="E972" s="46">
        <v>2429890</v>
      </c>
      <c r="F972" s="46" t="s">
        <v>1002</v>
      </c>
      <c r="G972" s="25">
        <f t="shared" si="19"/>
        <v>1.5719246938402431E-2</v>
      </c>
    </row>
    <row r="973" spans="1:7">
      <c r="A973" s="46">
        <v>270</v>
      </c>
      <c r="B973" s="46">
        <v>270.83999999999997</v>
      </c>
      <c r="C973" s="46">
        <v>265</v>
      </c>
      <c r="D973" s="46">
        <v>267.64999999999998</v>
      </c>
      <c r="E973" s="46">
        <v>3024590</v>
      </c>
      <c r="F973" s="46" t="s">
        <v>1003</v>
      </c>
      <c r="G973" s="25">
        <f t="shared" si="19"/>
        <v>8.7801232953483854E-3</v>
      </c>
    </row>
    <row r="974" spans="1:7">
      <c r="A974" s="46">
        <v>263.8</v>
      </c>
      <c r="B974" s="46">
        <v>277.81</v>
      </c>
      <c r="C974" s="46">
        <v>262.52999999999997</v>
      </c>
      <c r="D974" s="46">
        <v>272.33999999999997</v>
      </c>
      <c r="E974" s="46">
        <v>2722220</v>
      </c>
      <c r="F974" s="46" t="s">
        <v>1004</v>
      </c>
      <c r="G974" s="25">
        <f t="shared" si="19"/>
        <v>-3.1357861496658423E-2</v>
      </c>
    </row>
    <row r="975" spans="1:7">
      <c r="A975" s="46">
        <v>273.69</v>
      </c>
      <c r="B975" s="46">
        <v>281.75</v>
      </c>
      <c r="C975" s="46">
        <v>273.45999999999998</v>
      </c>
      <c r="D975" s="46">
        <v>278.25</v>
      </c>
      <c r="E975" s="46">
        <v>1842068</v>
      </c>
      <c r="F975" s="46" t="s">
        <v>1005</v>
      </c>
      <c r="G975" s="25">
        <f t="shared" si="19"/>
        <v>-1.6388140161725073E-2</v>
      </c>
    </row>
    <row r="976" spans="1:7">
      <c r="A976" s="46">
        <v>275.72000000000003</v>
      </c>
      <c r="B976" s="46">
        <v>276.72000000000003</v>
      </c>
      <c r="C976" s="46">
        <v>271</v>
      </c>
      <c r="D976" s="46">
        <v>272.89</v>
      </c>
      <c r="E976" s="46">
        <v>1331160</v>
      </c>
      <c r="F976" s="46" t="s">
        <v>1006</v>
      </c>
      <c r="G976" s="25">
        <f t="shared" si="19"/>
        <v>1.0370478947561379E-2</v>
      </c>
    </row>
    <row r="977" spans="1:7">
      <c r="A977" s="46">
        <v>278.82</v>
      </c>
      <c r="B977" s="46">
        <v>279.8</v>
      </c>
      <c r="C977" s="46">
        <v>272.74</v>
      </c>
      <c r="D977" s="46">
        <v>277.45</v>
      </c>
      <c r="E977" s="46">
        <v>2080804</v>
      </c>
      <c r="F977" s="46" t="s">
        <v>1007</v>
      </c>
      <c r="G977" s="25">
        <f t="shared" si="19"/>
        <v>4.9378266354298539E-3</v>
      </c>
    </row>
    <row r="978" spans="1:7">
      <c r="A978" s="46">
        <v>269.32</v>
      </c>
      <c r="B978" s="46">
        <v>288.98</v>
      </c>
      <c r="C978" s="46">
        <v>268.92</v>
      </c>
      <c r="D978" s="46">
        <v>286.66000000000003</v>
      </c>
      <c r="E978" s="46">
        <v>3452117</v>
      </c>
      <c r="F978" s="46" t="s">
        <v>1008</v>
      </c>
      <c r="G978" s="25">
        <f t="shared" si="19"/>
        <v>-6.0489778832065966E-2</v>
      </c>
    </row>
    <row r="979" spans="1:7">
      <c r="A979" s="46">
        <v>292.69</v>
      </c>
      <c r="B979" s="46">
        <v>304.68</v>
      </c>
      <c r="C979" s="46">
        <v>291.61</v>
      </c>
      <c r="D979" s="46">
        <v>300.5</v>
      </c>
      <c r="E979" s="46">
        <v>2866213</v>
      </c>
      <c r="F979" s="46" t="s">
        <v>1009</v>
      </c>
      <c r="G979" s="25">
        <f t="shared" si="19"/>
        <v>-2.5990016638935076E-2</v>
      </c>
    </row>
    <row r="980" spans="1:7">
      <c r="A980" s="46">
        <v>302.27999999999997</v>
      </c>
      <c r="B980" s="46">
        <v>303</v>
      </c>
      <c r="C980" s="46">
        <v>294.72000000000003</v>
      </c>
      <c r="D980" s="46">
        <v>296.70999999999998</v>
      </c>
      <c r="E980" s="46">
        <v>1995954</v>
      </c>
      <c r="F980" s="46" t="s">
        <v>1010</v>
      </c>
      <c r="G980" s="25">
        <f t="shared" si="19"/>
        <v>1.8772538842640962E-2</v>
      </c>
    </row>
    <row r="981" spans="1:7">
      <c r="A981" s="46">
        <v>299.82</v>
      </c>
      <c r="B981" s="46">
        <v>304.2756</v>
      </c>
      <c r="C981" s="46">
        <v>298.41000000000003</v>
      </c>
      <c r="D981" s="46">
        <v>301.22000000000003</v>
      </c>
      <c r="E981" s="46">
        <v>2098608</v>
      </c>
      <c r="F981" s="46" t="s">
        <v>1011</v>
      </c>
      <c r="G981" s="25">
        <f t="shared" si="19"/>
        <v>-4.64776575260617E-3</v>
      </c>
    </row>
    <row r="982" spans="1:7">
      <c r="A982" s="46">
        <v>299.01</v>
      </c>
      <c r="B982" s="46">
        <v>300.72000000000003</v>
      </c>
      <c r="C982" s="46">
        <v>291.81</v>
      </c>
      <c r="D982" s="46">
        <v>294.14999999999998</v>
      </c>
      <c r="E982" s="46">
        <v>1748339</v>
      </c>
      <c r="F982" s="46" t="s">
        <v>1012</v>
      </c>
      <c r="G982" s="25">
        <f t="shared" si="19"/>
        <v>1.6522182559918441E-2</v>
      </c>
    </row>
    <row r="983" spans="1:7">
      <c r="A983" s="46">
        <v>291.55</v>
      </c>
      <c r="B983" s="46">
        <v>293.79000000000002</v>
      </c>
      <c r="C983" s="46">
        <v>287.01</v>
      </c>
      <c r="D983" s="46">
        <v>289.95999999999998</v>
      </c>
      <c r="E983" s="46">
        <v>1645661</v>
      </c>
      <c r="F983" s="46" t="s">
        <v>1013</v>
      </c>
      <c r="G983" s="25">
        <f t="shared" si="19"/>
        <v>5.4835149675818151E-3</v>
      </c>
    </row>
    <row r="984" spans="1:7">
      <c r="A984" s="46">
        <v>290.33</v>
      </c>
      <c r="B984" s="46">
        <v>293.33</v>
      </c>
      <c r="C984" s="46">
        <v>286.47000000000003</v>
      </c>
      <c r="D984" s="46">
        <v>290.20999999999998</v>
      </c>
      <c r="E984" s="46">
        <v>1644643</v>
      </c>
      <c r="F984" s="46" t="s">
        <v>1014</v>
      </c>
      <c r="G984" s="25">
        <f t="shared" si="19"/>
        <v>4.1349367699261563E-4</v>
      </c>
    </row>
    <row r="985" spans="1:7">
      <c r="A985" s="46">
        <v>293.51</v>
      </c>
      <c r="B985" s="46">
        <v>293.62</v>
      </c>
      <c r="C985" s="46">
        <v>284.64999999999998</v>
      </c>
      <c r="D985" s="46">
        <v>289.08</v>
      </c>
      <c r="E985" s="46">
        <v>1454887</v>
      </c>
      <c r="F985" s="46" t="s">
        <v>1015</v>
      </c>
      <c r="G985" s="25">
        <f t="shared" si="19"/>
        <v>1.532447765324485E-2</v>
      </c>
    </row>
    <row r="986" spans="1:7">
      <c r="A986" s="46">
        <v>288.38</v>
      </c>
      <c r="B986" s="46">
        <v>289.29000000000002</v>
      </c>
      <c r="C986" s="46">
        <v>266.02</v>
      </c>
      <c r="D986" s="46">
        <v>266.22000000000003</v>
      </c>
      <c r="E986" s="46">
        <v>2733731</v>
      </c>
      <c r="F986" s="46" t="s">
        <v>1016</v>
      </c>
      <c r="G986" s="25">
        <f t="shared" si="19"/>
        <v>8.323942603861445E-2</v>
      </c>
    </row>
    <row r="987" spans="1:7">
      <c r="A987" s="46">
        <v>276.5</v>
      </c>
      <c r="B987" s="46">
        <v>286.45</v>
      </c>
      <c r="C987" s="46">
        <v>275.56</v>
      </c>
      <c r="D987" s="46">
        <v>284.95</v>
      </c>
      <c r="E987" s="46">
        <v>1706036</v>
      </c>
      <c r="F987" s="46" t="s">
        <v>1017</v>
      </c>
      <c r="G987" s="25">
        <f t="shared" si="19"/>
        <v>-2.96543253202316E-2</v>
      </c>
    </row>
    <row r="988" spans="1:7">
      <c r="A988" s="46">
        <v>284</v>
      </c>
      <c r="B988" s="46">
        <v>287.31560000000002</v>
      </c>
      <c r="C988" s="46">
        <v>277.34500000000003</v>
      </c>
      <c r="D988" s="46">
        <v>278.12</v>
      </c>
      <c r="E988" s="46">
        <v>2116945</v>
      </c>
      <c r="F988" s="46" t="s">
        <v>1018</v>
      </c>
      <c r="G988" s="25">
        <f t="shared" si="19"/>
        <v>2.1141953113763767E-2</v>
      </c>
    </row>
    <row r="989" spans="1:7">
      <c r="A989" s="46">
        <v>280.77999999999997</v>
      </c>
      <c r="B989" s="46">
        <v>286.60000000000002</v>
      </c>
      <c r="C989" s="46">
        <v>280.23500000000001</v>
      </c>
      <c r="D989" s="46">
        <v>283.37</v>
      </c>
      <c r="E989" s="46">
        <v>1423628</v>
      </c>
      <c r="F989" s="46" t="s">
        <v>1019</v>
      </c>
      <c r="G989" s="25">
        <f t="shared" si="19"/>
        <v>-9.139993647880984E-3</v>
      </c>
    </row>
    <row r="990" spans="1:7">
      <c r="A990" s="46">
        <v>284.08</v>
      </c>
      <c r="B990" s="46">
        <v>290</v>
      </c>
      <c r="C990" s="46">
        <v>283.5</v>
      </c>
      <c r="D990" s="46">
        <v>289.47000000000003</v>
      </c>
      <c r="E990" s="46">
        <v>1573497</v>
      </c>
      <c r="F990" s="46" t="s">
        <v>1020</v>
      </c>
      <c r="G990" s="25">
        <f t="shared" si="19"/>
        <v>-1.8620236984834504E-2</v>
      </c>
    </row>
    <row r="991" spans="1:7">
      <c r="A991" s="46">
        <v>291.14</v>
      </c>
      <c r="B991" s="46">
        <v>292.36</v>
      </c>
      <c r="C991" s="46">
        <v>282.72000000000003</v>
      </c>
      <c r="D991" s="46">
        <v>289</v>
      </c>
      <c r="E991" s="46">
        <v>1797240</v>
      </c>
      <c r="F991" s="46" t="s">
        <v>1021</v>
      </c>
      <c r="G991" s="25">
        <f t="shared" si="19"/>
        <v>7.4048442906573531E-3</v>
      </c>
    </row>
    <row r="992" spans="1:7">
      <c r="A992" s="46">
        <v>289.31</v>
      </c>
      <c r="B992" s="46">
        <v>290.61200000000002</v>
      </c>
      <c r="C992" s="46">
        <v>284.8</v>
      </c>
      <c r="D992" s="46">
        <v>285</v>
      </c>
      <c r="E992" s="46">
        <v>1413799</v>
      </c>
      <c r="F992" s="46" t="s">
        <v>1022</v>
      </c>
      <c r="G992" s="25">
        <f t="shared" si="19"/>
        <v>1.512280701754376E-2</v>
      </c>
    </row>
    <row r="993" spans="1:7">
      <c r="A993" s="46">
        <v>281.14</v>
      </c>
      <c r="B993" s="46">
        <v>286.17</v>
      </c>
      <c r="C993" s="46">
        <v>279.02999999999997</v>
      </c>
      <c r="D993" s="46">
        <v>283.24</v>
      </c>
      <c r="E993" s="46">
        <v>1563267</v>
      </c>
      <c r="F993" s="46" t="s">
        <v>1023</v>
      </c>
      <c r="G993" s="25">
        <f t="shared" ref="G993:G1056" si="20">A993/D993-1</f>
        <v>-7.4142070329050735E-3</v>
      </c>
    </row>
    <row r="994" spans="1:7">
      <c r="A994" s="46">
        <v>283.16000000000003</v>
      </c>
      <c r="B994" s="46">
        <v>294.48</v>
      </c>
      <c r="C994" s="46">
        <v>282.2</v>
      </c>
      <c r="D994" s="46">
        <v>291.52999999999997</v>
      </c>
      <c r="E994" s="46">
        <v>2267399</v>
      </c>
      <c r="F994" s="46" t="s">
        <v>1024</v>
      </c>
      <c r="G994" s="25">
        <f t="shared" si="20"/>
        <v>-2.8710595822042162E-2</v>
      </c>
    </row>
    <row r="995" spans="1:7">
      <c r="A995" s="46">
        <v>292.49</v>
      </c>
      <c r="B995" s="46">
        <v>294.98</v>
      </c>
      <c r="C995" s="46">
        <v>286.74</v>
      </c>
      <c r="D995" s="46">
        <v>287.69</v>
      </c>
      <c r="E995" s="46">
        <v>2882855</v>
      </c>
      <c r="F995" s="46" t="s">
        <v>1025</v>
      </c>
      <c r="G995" s="25">
        <f t="shared" si="20"/>
        <v>1.6684625812506626E-2</v>
      </c>
    </row>
    <row r="996" spans="1:7">
      <c r="A996" s="46">
        <v>292.18</v>
      </c>
      <c r="B996" s="46">
        <v>292.94</v>
      </c>
      <c r="C996" s="46">
        <v>287.11</v>
      </c>
      <c r="D996" s="46">
        <v>287.11</v>
      </c>
      <c r="E996" s="46">
        <v>2141932</v>
      </c>
      <c r="F996" s="46" t="s">
        <v>1026</v>
      </c>
      <c r="G996" s="25">
        <f t="shared" si="20"/>
        <v>1.7658737069415897E-2</v>
      </c>
    </row>
    <row r="997" spans="1:7">
      <c r="A997" s="46">
        <v>283.39</v>
      </c>
      <c r="B997" s="46">
        <v>285.3526</v>
      </c>
      <c r="C997" s="46">
        <v>277.81</v>
      </c>
      <c r="D997" s="46">
        <v>283.64999999999998</v>
      </c>
      <c r="E997" s="46">
        <v>2047966</v>
      </c>
      <c r="F997" s="46" t="s">
        <v>1027</v>
      </c>
      <c r="G997" s="25">
        <f t="shared" si="20"/>
        <v>-9.1662259827252068E-4</v>
      </c>
    </row>
    <row r="998" spans="1:7">
      <c r="A998" s="46">
        <v>284.89</v>
      </c>
      <c r="B998" s="46">
        <v>290.89999999999998</v>
      </c>
      <c r="C998" s="46">
        <v>283.56</v>
      </c>
      <c r="D998" s="46">
        <v>284.41000000000003</v>
      </c>
      <c r="E998" s="46">
        <v>1721456</v>
      </c>
      <c r="F998" s="46" t="s">
        <v>1028</v>
      </c>
      <c r="G998" s="25">
        <f t="shared" si="20"/>
        <v>1.6877043704510708E-3</v>
      </c>
    </row>
    <row r="999" spans="1:7">
      <c r="A999" s="46">
        <v>285.73</v>
      </c>
      <c r="B999" s="46">
        <v>288.29000000000002</v>
      </c>
      <c r="C999" s="46">
        <v>280.45999999999998</v>
      </c>
      <c r="D999" s="46">
        <v>282.85000000000002</v>
      </c>
      <c r="E999" s="46">
        <v>1634052</v>
      </c>
      <c r="F999" s="46" t="s">
        <v>1029</v>
      </c>
      <c r="G999" s="25">
        <f t="shared" si="20"/>
        <v>1.0182075304931981E-2</v>
      </c>
    </row>
    <row r="1000" spans="1:7">
      <c r="A1000" s="46">
        <v>285.60000000000002</v>
      </c>
      <c r="B1000" s="46">
        <v>291.95999999999998</v>
      </c>
      <c r="C1000" s="46">
        <v>284.91000000000003</v>
      </c>
      <c r="D1000" s="46">
        <v>286.83999999999997</v>
      </c>
      <c r="E1000" s="46">
        <v>1920153</v>
      </c>
      <c r="F1000" s="46" t="s">
        <v>1030</v>
      </c>
      <c r="G1000" s="25">
        <f t="shared" si="20"/>
        <v>-4.322967508018194E-3</v>
      </c>
    </row>
    <row r="1001" spans="1:7">
      <c r="A1001" s="46">
        <v>292.94</v>
      </c>
      <c r="B1001" s="46">
        <v>295.26</v>
      </c>
      <c r="C1001" s="46">
        <v>289.065</v>
      </c>
      <c r="D1001" s="46">
        <v>292.08</v>
      </c>
      <c r="E1001" s="46">
        <v>2328934</v>
      </c>
      <c r="F1001" s="46" t="s">
        <v>1031</v>
      </c>
      <c r="G1001" s="25">
        <f t="shared" si="20"/>
        <v>2.9443987948507555E-3</v>
      </c>
    </row>
    <row r="1002" spans="1:7">
      <c r="A1002" s="46">
        <v>286.51</v>
      </c>
      <c r="B1002" s="46">
        <v>289.7</v>
      </c>
      <c r="C1002" s="46">
        <v>281.61009999999999</v>
      </c>
      <c r="D1002" s="46">
        <v>285.18</v>
      </c>
      <c r="E1002" s="46">
        <v>2098738</v>
      </c>
      <c r="F1002" s="46" t="s">
        <v>1032</v>
      </c>
      <c r="G1002" s="25">
        <f t="shared" si="20"/>
        <v>4.6637211585665028E-3</v>
      </c>
    </row>
    <row r="1003" spans="1:7">
      <c r="A1003" s="46">
        <v>284.18</v>
      </c>
      <c r="B1003" s="46">
        <v>285.23</v>
      </c>
      <c r="C1003" s="46">
        <v>273.81</v>
      </c>
      <c r="D1003" s="46">
        <v>276.23</v>
      </c>
      <c r="E1003" s="46">
        <v>2993400</v>
      </c>
      <c r="F1003" s="46" t="s">
        <v>1033</v>
      </c>
      <c r="G1003" s="25">
        <f t="shared" si="20"/>
        <v>2.8780364189262553E-2</v>
      </c>
    </row>
    <row r="1004" spans="1:7">
      <c r="A1004" s="46">
        <v>271.79000000000002</v>
      </c>
      <c r="B1004" s="46">
        <v>272.04000000000002</v>
      </c>
      <c r="C1004" s="46">
        <v>258.12</v>
      </c>
      <c r="D1004" s="46">
        <v>264.42</v>
      </c>
      <c r="E1004" s="46">
        <v>2712774</v>
      </c>
      <c r="F1004" s="46" t="s">
        <v>1034</v>
      </c>
      <c r="G1004" s="25">
        <f t="shared" si="20"/>
        <v>2.7872324332501419E-2</v>
      </c>
    </row>
    <row r="1005" spans="1:7">
      <c r="A1005" s="46">
        <v>262.77</v>
      </c>
      <c r="B1005" s="46">
        <v>270.83</v>
      </c>
      <c r="C1005" s="46">
        <v>261.02</v>
      </c>
      <c r="D1005" s="46">
        <v>267.58999999999997</v>
      </c>
      <c r="E1005" s="46">
        <v>2585585</v>
      </c>
      <c r="F1005" s="46" t="s">
        <v>1035</v>
      </c>
      <c r="G1005" s="25">
        <f t="shared" si="20"/>
        <v>-1.8012631264247569E-2</v>
      </c>
    </row>
    <row r="1006" spans="1:7">
      <c r="A1006" s="46">
        <v>264.45999999999998</v>
      </c>
      <c r="B1006" s="46">
        <v>275.01</v>
      </c>
      <c r="C1006" s="46">
        <v>261.19499999999999</v>
      </c>
      <c r="D1006" s="46">
        <v>269</v>
      </c>
      <c r="E1006" s="46">
        <v>3512670</v>
      </c>
      <c r="F1006" s="46" t="s">
        <v>1036</v>
      </c>
      <c r="G1006" s="25">
        <f t="shared" si="20"/>
        <v>-1.6877323420074419E-2</v>
      </c>
    </row>
    <row r="1007" spans="1:7">
      <c r="A1007" s="46">
        <v>264.14</v>
      </c>
      <c r="B1007" s="46">
        <v>268.39999999999998</v>
      </c>
      <c r="C1007" s="46">
        <v>260.3</v>
      </c>
      <c r="D1007" s="46">
        <v>261.64</v>
      </c>
      <c r="E1007" s="46">
        <v>2768237</v>
      </c>
      <c r="F1007" s="46" t="s">
        <v>1037</v>
      </c>
      <c r="G1007" s="25">
        <f t="shared" si="20"/>
        <v>9.5551138969576233E-3</v>
      </c>
    </row>
    <row r="1008" spans="1:7">
      <c r="A1008" s="46">
        <v>271.98</v>
      </c>
      <c r="B1008" s="46">
        <v>272.77999999999997</v>
      </c>
      <c r="C1008" s="46">
        <v>254.2</v>
      </c>
      <c r="D1008" s="46">
        <v>264.62</v>
      </c>
      <c r="E1008" s="46">
        <v>4707679</v>
      </c>
      <c r="F1008" s="46" t="s">
        <v>1038</v>
      </c>
      <c r="G1008" s="25">
        <f t="shared" si="20"/>
        <v>2.7813468369737748E-2</v>
      </c>
    </row>
    <row r="1009" spans="1:7">
      <c r="A1009" s="46">
        <v>269.52999999999997</v>
      </c>
      <c r="B1009" s="46">
        <v>281.58</v>
      </c>
      <c r="C1009" s="46">
        <v>267.3</v>
      </c>
      <c r="D1009" s="46">
        <v>275.04000000000002</v>
      </c>
      <c r="E1009" s="46">
        <v>5584178</v>
      </c>
      <c r="F1009" s="46" t="s">
        <v>1039</v>
      </c>
      <c r="G1009" s="25">
        <f t="shared" si="20"/>
        <v>-2.0033449680046722E-2</v>
      </c>
    </row>
    <row r="1010" spans="1:7">
      <c r="A1010" s="46">
        <v>292.73</v>
      </c>
      <c r="B1010" s="46">
        <v>304.43</v>
      </c>
      <c r="C1010" s="46">
        <v>291.82</v>
      </c>
      <c r="D1010" s="46">
        <v>296</v>
      </c>
      <c r="E1010" s="46">
        <v>2772287</v>
      </c>
      <c r="F1010" s="46" t="s">
        <v>1040</v>
      </c>
      <c r="G1010" s="25">
        <f t="shared" si="20"/>
        <v>-1.1047297297297254E-2</v>
      </c>
    </row>
    <row r="1011" spans="1:7">
      <c r="A1011" s="46">
        <v>293.45999999999998</v>
      </c>
      <c r="B1011" s="46">
        <v>299.625</v>
      </c>
      <c r="C1011" s="46">
        <v>293</v>
      </c>
      <c r="D1011" s="46">
        <v>296.065</v>
      </c>
      <c r="E1011" s="46">
        <v>1917851</v>
      </c>
      <c r="F1011" s="46" t="s">
        <v>1041</v>
      </c>
      <c r="G1011" s="25">
        <f t="shared" si="20"/>
        <v>-8.7987435191596575E-3</v>
      </c>
    </row>
    <row r="1012" spans="1:7">
      <c r="A1012" s="46">
        <v>295.49</v>
      </c>
      <c r="B1012" s="46">
        <v>301.48</v>
      </c>
      <c r="C1012" s="46">
        <v>294.67</v>
      </c>
      <c r="D1012" s="46">
        <v>301.37</v>
      </c>
      <c r="E1012" s="46">
        <v>2314658</v>
      </c>
      <c r="F1012" s="46" t="s">
        <v>1042</v>
      </c>
      <c r="G1012" s="25">
        <f t="shared" si="20"/>
        <v>-1.9510900222318051E-2</v>
      </c>
    </row>
    <row r="1013" spans="1:7">
      <c r="A1013" s="46">
        <v>307.74</v>
      </c>
      <c r="B1013" s="46">
        <v>311.505</v>
      </c>
      <c r="C1013" s="46">
        <v>303.89</v>
      </c>
      <c r="D1013" s="46">
        <v>310.39</v>
      </c>
      <c r="E1013" s="46">
        <v>2299939</v>
      </c>
      <c r="F1013" s="46" t="s">
        <v>1043</v>
      </c>
      <c r="G1013" s="25">
        <f t="shared" si="20"/>
        <v>-8.5376461870548814E-3</v>
      </c>
    </row>
    <row r="1014" spans="1:7">
      <c r="A1014" s="46">
        <v>313.20999999999998</v>
      </c>
      <c r="B1014" s="46">
        <v>325.01</v>
      </c>
      <c r="C1014" s="46">
        <v>312.39</v>
      </c>
      <c r="D1014" s="46">
        <v>324.98</v>
      </c>
      <c r="E1014" s="46">
        <v>1717808</v>
      </c>
      <c r="F1014" s="46" t="s">
        <v>1044</v>
      </c>
      <c r="G1014" s="25">
        <f t="shared" si="20"/>
        <v>-3.6217613391593462E-2</v>
      </c>
    </row>
    <row r="1015" spans="1:7">
      <c r="A1015" s="46">
        <v>323.16000000000003</v>
      </c>
      <c r="B1015" s="46">
        <v>327.14</v>
      </c>
      <c r="C1015" s="46">
        <v>319.56</v>
      </c>
      <c r="D1015" s="46">
        <v>324.81</v>
      </c>
      <c r="E1015" s="46">
        <v>2106970</v>
      </c>
      <c r="F1015" s="46" t="s">
        <v>1045</v>
      </c>
      <c r="G1015" s="25">
        <f t="shared" si="20"/>
        <v>-5.0798928604414151E-3</v>
      </c>
    </row>
    <row r="1016" spans="1:7">
      <c r="A1016" s="46">
        <v>328.02</v>
      </c>
      <c r="B1016" s="46">
        <v>328.16</v>
      </c>
      <c r="C1016" s="46">
        <v>318.73860000000002</v>
      </c>
      <c r="D1016" s="46">
        <v>325.77</v>
      </c>
      <c r="E1016" s="46">
        <v>1825352</v>
      </c>
      <c r="F1016" s="46" t="s">
        <v>1046</v>
      </c>
      <c r="G1016" s="25">
        <f t="shared" si="20"/>
        <v>6.9067133253521984E-3</v>
      </c>
    </row>
    <row r="1017" spans="1:7">
      <c r="A1017" s="46">
        <v>325.52999999999997</v>
      </c>
      <c r="B1017" s="46">
        <v>325.81</v>
      </c>
      <c r="C1017" s="46">
        <v>315.25</v>
      </c>
      <c r="D1017" s="46">
        <v>321.18</v>
      </c>
      <c r="E1017" s="46">
        <v>2057509</v>
      </c>
      <c r="F1017" s="46" t="s">
        <v>1047</v>
      </c>
      <c r="G1017" s="25">
        <f t="shared" si="20"/>
        <v>1.3543807210909753E-2</v>
      </c>
    </row>
    <row r="1018" spans="1:7">
      <c r="A1018" s="46">
        <v>324.29000000000002</v>
      </c>
      <c r="B1018" s="46">
        <v>333.07</v>
      </c>
      <c r="C1018" s="46">
        <v>323.23</v>
      </c>
      <c r="D1018" s="46">
        <v>330.94</v>
      </c>
      <c r="E1018" s="46">
        <v>1747008</v>
      </c>
      <c r="F1018" s="46" t="s">
        <v>1048</v>
      </c>
      <c r="G1018" s="25">
        <f t="shared" si="20"/>
        <v>-2.0094276908200759E-2</v>
      </c>
    </row>
    <row r="1019" spans="1:7">
      <c r="A1019" s="46">
        <v>334.18</v>
      </c>
      <c r="B1019" s="46">
        <v>341.71</v>
      </c>
      <c r="C1019" s="46">
        <v>333.38</v>
      </c>
      <c r="D1019" s="46">
        <v>339.88</v>
      </c>
      <c r="E1019" s="46">
        <v>1701854</v>
      </c>
      <c r="F1019" s="46" t="s">
        <v>1049</v>
      </c>
      <c r="G1019" s="25">
        <f t="shared" si="20"/>
        <v>-1.6770624926444544E-2</v>
      </c>
    </row>
    <row r="1020" spans="1:7">
      <c r="A1020" s="46">
        <v>341.95</v>
      </c>
      <c r="B1020" s="46">
        <v>355.7</v>
      </c>
      <c r="C1020" s="46">
        <v>341.65</v>
      </c>
      <c r="D1020" s="46">
        <v>352.49</v>
      </c>
      <c r="E1020" s="46">
        <v>1804990</v>
      </c>
      <c r="F1020" s="46" t="s">
        <v>1050</v>
      </c>
      <c r="G1020" s="25">
        <f t="shared" si="20"/>
        <v>-2.9901557490992658E-2</v>
      </c>
    </row>
    <row r="1021" spans="1:7">
      <c r="A1021" s="46">
        <v>354.63</v>
      </c>
      <c r="B1021" s="46">
        <v>362</v>
      </c>
      <c r="C1021" s="46">
        <v>352.57</v>
      </c>
      <c r="D1021" s="46">
        <v>360</v>
      </c>
      <c r="E1021" s="46">
        <v>1310958</v>
      </c>
      <c r="F1021" s="46" t="s">
        <v>1051</v>
      </c>
      <c r="G1021" s="25">
        <f t="shared" si="20"/>
        <v>-1.4916666666666689E-2</v>
      </c>
    </row>
    <row r="1022" spans="1:7">
      <c r="A1022" s="46">
        <v>360</v>
      </c>
      <c r="B1022" s="46">
        <v>360.51</v>
      </c>
      <c r="C1022" s="46">
        <v>353.13</v>
      </c>
      <c r="D1022" s="46">
        <v>358.65</v>
      </c>
      <c r="E1022" s="46">
        <v>1573306</v>
      </c>
      <c r="F1022" s="46" t="s">
        <v>1052</v>
      </c>
      <c r="G1022" s="25">
        <f t="shared" si="20"/>
        <v>3.7641154328733606E-3</v>
      </c>
    </row>
    <row r="1023" spans="1:7">
      <c r="A1023" s="46">
        <v>359.3</v>
      </c>
      <c r="B1023" s="46">
        <v>366.15</v>
      </c>
      <c r="C1023" s="46">
        <v>358.79</v>
      </c>
      <c r="D1023" s="46">
        <v>363.02</v>
      </c>
      <c r="E1023" s="46">
        <v>1157830</v>
      </c>
      <c r="F1023" s="46" t="s">
        <v>1053</v>
      </c>
      <c r="G1023" s="25">
        <f t="shared" si="20"/>
        <v>-1.024736929094805E-2</v>
      </c>
    </row>
    <row r="1024" spans="1:7">
      <c r="A1024" s="46">
        <v>363.3</v>
      </c>
      <c r="B1024" s="46">
        <v>367.65</v>
      </c>
      <c r="C1024" s="46">
        <v>362.81</v>
      </c>
      <c r="D1024" s="46">
        <v>366.09</v>
      </c>
      <c r="E1024" s="46">
        <v>754463</v>
      </c>
      <c r="F1024" s="46" t="s">
        <v>1054</v>
      </c>
      <c r="G1024" s="25">
        <f t="shared" si="20"/>
        <v>-7.6210767843971627E-3</v>
      </c>
    </row>
    <row r="1025" spans="1:7">
      <c r="A1025" s="46">
        <v>365.27</v>
      </c>
      <c r="B1025" s="46">
        <v>369.21</v>
      </c>
      <c r="C1025" s="46">
        <v>364.02</v>
      </c>
      <c r="D1025" s="46">
        <v>365.36</v>
      </c>
      <c r="E1025" s="46">
        <v>897461</v>
      </c>
      <c r="F1025" s="46" t="s">
        <v>1055</v>
      </c>
      <c r="G1025" s="25">
        <f t="shared" si="20"/>
        <v>-2.4633238449756067E-4</v>
      </c>
    </row>
    <row r="1026" spans="1:7">
      <c r="A1026" s="46">
        <v>364.54</v>
      </c>
      <c r="B1026" s="46">
        <v>366.72</v>
      </c>
      <c r="C1026" s="46">
        <v>362.02589999999998</v>
      </c>
      <c r="D1026" s="46">
        <v>364.58</v>
      </c>
      <c r="E1026" s="46">
        <v>931177</v>
      </c>
      <c r="F1026" s="46" t="s">
        <v>1056</v>
      </c>
      <c r="G1026" s="25">
        <f t="shared" si="20"/>
        <v>-1.0971528882541826E-4</v>
      </c>
    </row>
    <row r="1027" spans="1:7">
      <c r="A1027" s="46">
        <v>364.58</v>
      </c>
      <c r="B1027" s="46">
        <v>366.53</v>
      </c>
      <c r="C1027" s="46">
        <v>361.61</v>
      </c>
      <c r="D1027" s="46">
        <v>363.46</v>
      </c>
      <c r="E1027" s="46">
        <v>1136634</v>
      </c>
      <c r="F1027" s="46" t="s">
        <v>1057</v>
      </c>
      <c r="G1027" s="25">
        <f t="shared" si="20"/>
        <v>3.0814945248445191E-3</v>
      </c>
    </row>
    <row r="1028" spans="1:7">
      <c r="A1028" s="46">
        <v>363.94</v>
      </c>
      <c r="B1028" s="46">
        <v>365.67</v>
      </c>
      <c r="C1028" s="46">
        <v>357.33</v>
      </c>
      <c r="D1028" s="46">
        <v>360.65</v>
      </c>
      <c r="E1028" s="46">
        <v>1022667</v>
      </c>
      <c r="F1028" s="46" t="s">
        <v>1058</v>
      </c>
      <c r="G1028" s="25">
        <f t="shared" si="20"/>
        <v>9.122417856647802E-3</v>
      </c>
    </row>
    <row r="1029" spans="1:7">
      <c r="A1029" s="46">
        <v>362.21</v>
      </c>
      <c r="B1029" s="46">
        <v>362.54</v>
      </c>
      <c r="C1029" s="46">
        <v>346.83</v>
      </c>
      <c r="D1029" s="46">
        <v>346.96</v>
      </c>
      <c r="E1029" s="46">
        <v>1410424</v>
      </c>
      <c r="F1029" s="46" t="s">
        <v>1059</v>
      </c>
      <c r="G1029" s="25">
        <f t="shared" si="20"/>
        <v>4.3953193451694794E-2</v>
      </c>
    </row>
    <row r="1030" spans="1:7">
      <c r="A1030" s="46">
        <v>348.09</v>
      </c>
      <c r="B1030" s="46">
        <v>348.77</v>
      </c>
      <c r="C1030" s="46">
        <v>332.64</v>
      </c>
      <c r="D1030" s="46">
        <v>333.45</v>
      </c>
      <c r="E1030" s="46">
        <v>1699511</v>
      </c>
      <c r="F1030" s="46" t="s">
        <v>1060</v>
      </c>
      <c r="G1030" s="25">
        <f t="shared" si="20"/>
        <v>4.3904633378317515E-2</v>
      </c>
    </row>
    <row r="1031" spans="1:7">
      <c r="A1031" s="46">
        <v>332.11</v>
      </c>
      <c r="B1031" s="46">
        <v>334.2</v>
      </c>
      <c r="C1031" s="46">
        <v>326.06</v>
      </c>
      <c r="D1031" s="46">
        <v>330.38</v>
      </c>
      <c r="E1031" s="46">
        <v>1560432</v>
      </c>
      <c r="F1031" s="46" t="s">
        <v>1061</v>
      </c>
      <c r="G1031" s="25">
        <f t="shared" si="20"/>
        <v>5.2363944548701191E-3</v>
      </c>
    </row>
    <row r="1032" spans="1:7">
      <c r="A1032" s="46">
        <v>337.4</v>
      </c>
      <c r="B1032" s="46">
        <v>343.1</v>
      </c>
      <c r="C1032" s="46">
        <v>332.4</v>
      </c>
      <c r="D1032" s="46">
        <v>332.4</v>
      </c>
      <c r="E1032" s="46">
        <v>2633728</v>
      </c>
      <c r="F1032" s="46" t="s">
        <v>1062</v>
      </c>
      <c r="G1032" s="25">
        <f t="shared" si="20"/>
        <v>1.5042117930204491E-2</v>
      </c>
    </row>
    <row r="1033" spans="1:7">
      <c r="A1033" s="46">
        <v>334.53</v>
      </c>
      <c r="B1033" s="46">
        <v>341.72</v>
      </c>
      <c r="C1033" s="46">
        <v>333.13</v>
      </c>
      <c r="D1033" s="46">
        <v>338.01</v>
      </c>
      <c r="E1033" s="46">
        <v>2004051</v>
      </c>
      <c r="F1033" s="46" t="s">
        <v>1063</v>
      </c>
      <c r="G1033" s="25">
        <f t="shared" si="20"/>
        <v>-1.0295553385994527E-2</v>
      </c>
    </row>
    <row r="1034" spans="1:7">
      <c r="A1034" s="46">
        <v>331.66</v>
      </c>
      <c r="B1034" s="46">
        <v>334.9</v>
      </c>
      <c r="C1034" s="46">
        <v>323.79000000000002</v>
      </c>
      <c r="D1034" s="46">
        <v>330.35</v>
      </c>
      <c r="E1034" s="46">
        <v>2192067</v>
      </c>
      <c r="F1034" s="46" t="s">
        <v>1064</v>
      </c>
      <c r="G1034" s="25">
        <f t="shared" si="20"/>
        <v>3.9654911457545072E-3</v>
      </c>
    </row>
    <row r="1035" spans="1:7">
      <c r="A1035" s="46">
        <v>328.24</v>
      </c>
      <c r="B1035" s="46">
        <v>336.51</v>
      </c>
      <c r="C1035" s="46">
        <v>325.60000000000002</v>
      </c>
      <c r="D1035" s="46">
        <v>336.51</v>
      </c>
      <c r="E1035" s="46">
        <v>1482261</v>
      </c>
      <c r="F1035" s="46" t="s">
        <v>1065</v>
      </c>
      <c r="G1035" s="25">
        <f t="shared" si="20"/>
        <v>-2.4575792695610721E-2</v>
      </c>
    </row>
    <row r="1036" spans="1:7">
      <c r="A1036" s="46">
        <v>340.36</v>
      </c>
      <c r="B1036" s="46">
        <v>345.77</v>
      </c>
      <c r="C1036" s="46">
        <v>339.63</v>
      </c>
      <c r="D1036" s="46">
        <v>344.74</v>
      </c>
      <c r="E1036" s="46">
        <v>1530487</v>
      </c>
      <c r="F1036" s="46" t="s">
        <v>1066</v>
      </c>
      <c r="G1036" s="25">
        <f t="shared" si="20"/>
        <v>-1.2705227127690399E-2</v>
      </c>
    </row>
    <row r="1037" spans="1:7">
      <c r="A1037" s="46">
        <v>344.96</v>
      </c>
      <c r="B1037" s="46">
        <v>346.08</v>
      </c>
      <c r="C1037" s="46">
        <v>341.47</v>
      </c>
      <c r="D1037" s="46">
        <v>343.16</v>
      </c>
      <c r="E1037" s="46">
        <v>1316566</v>
      </c>
      <c r="F1037" s="46" t="s">
        <v>1067</v>
      </c>
      <c r="G1037" s="25">
        <f t="shared" si="20"/>
        <v>5.245366592842915E-3</v>
      </c>
    </row>
    <row r="1038" spans="1:7">
      <c r="A1038" s="46">
        <v>340.34</v>
      </c>
      <c r="B1038" s="46">
        <v>345.98</v>
      </c>
      <c r="C1038" s="46">
        <v>338.774</v>
      </c>
      <c r="D1038" s="46">
        <v>339.73</v>
      </c>
      <c r="E1038" s="46">
        <v>1296697</v>
      </c>
      <c r="F1038" s="46" t="s">
        <v>1068</v>
      </c>
      <c r="G1038" s="25">
        <f t="shared" si="20"/>
        <v>1.7955435198537817E-3</v>
      </c>
    </row>
    <row r="1039" spans="1:7">
      <c r="A1039" s="46">
        <v>340.8</v>
      </c>
      <c r="B1039" s="46">
        <v>341.99</v>
      </c>
      <c r="C1039" s="46">
        <v>337.125</v>
      </c>
      <c r="D1039" s="46">
        <v>340.85</v>
      </c>
      <c r="E1039" s="46">
        <v>2094993</v>
      </c>
      <c r="F1039" s="46" t="s">
        <v>1069</v>
      </c>
      <c r="G1039" s="25">
        <f t="shared" si="20"/>
        <v>-1.4669209329620791E-4</v>
      </c>
    </row>
    <row r="1040" spans="1:7">
      <c r="A1040" s="46">
        <v>340.49</v>
      </c>
      <c r="B1040" s="46">
        <v>342.62</v>
      </c>
      <c r="C1040" s="46">
        <v>329.495</v>
      </c>
      <c r="D1040" s="46">
        <v>329.91</v>
      </c>
      <c r="E1040" s="46">
        <v>2138399</v>
      </c>
      <c r="F1040" s="46" t="s">
        <v>1070</v>
      </c>
      <c r="G1040" s="25">
        <f t="shared" si="20"/>
        <v>3.2069352247582561E-2</v>
      </c>
    </row>
    <row r="1041" spans="1:7">
      <c r="A1041" s="46">
        <v>323.77</v>
      </c>
      <c r="B1041" s="46">
        <v>325.52999999999997</v>
      </c>
      <c r="C1041" s="46">
        <v>314</v>
      </c>
      <c r="D1041" s="46">
        <v>321.24</v>
      </c>
      <c r="E1041" s="46">
        <v>2954113</v>
      </c>
      <c r="F1041" s="46" t="s">
        <v>1071</v>
      </c>
      <c r="G1041" s="25">
        <f t="shared" si="20"/>
        <v>7.8757315402813166E-3</v>
      </c>
    </row>
    <row r="1042" spans="1:7">
      <c r="A1042" s="46">
        <v>321.63</v>
      </c>
      <c r="B1042" s="46">
        <v>329.99</v>
      </c>
      <c r="C1042" s="46">
        <v>313.69</v>
      </c>
      <c r="D1042" s="46">
        <v>329.2</v>
      </c>
      <c r="E1042" s="46">
        <v>2485166</v>
      </c>
      <c r="F1042" s="46" t="s">
        <v>1072</v>
      </c>
      <c r="G1042" s="25">
        <f t="shared" si="20"/>
        <v>-2.2995139732685299E-2</v>
      </c>
    </row>
    <row r="1043" spans="1:7">
      <c r="A1043" s="46">
        <v>327.32</v>
      </c>
      <c r="B1043" s="46">
        <v>329.52</v>
      </c>
      <c r="C1043" s="46">
        <v>318.44</v>
      </c>
      <c r="D1043" s="46">
        <v>319.93</v>
      </c>
      <c r="E1043" s="46">
        <v>1350000</v>
      </c>
      <c r="F1043" s="46" t="s">
        <v>1073</v>
      </c>
      <c r="G1043" s="25">
        <f t="shared" si="20"/>
        <v>2.3098802863126267E-2</v>
      </c>
    </row>
    <row r="1044" spans="1:7">
      <c r="A1044" s="46">
        <v>319.93</v>
      </c>
      <c r="B1044" s="46">
        <v>330.13</v>
      </c>
      <c r="C1044" s="46">
        <v>319.64999999999998</v>
      </c>
      <c r="D1044" s="46">
        <v>328.61</v>
      </c>
      <c r="E1044" s="46">
        <v>1673336</v>
      </c>
      <c r="F1044" s="46" t="s">
        <v>1074</v>
      </c>
      <c r="G1044" s="25">
        <f t="shared" si="20"/>
        <v>-2.6414290496333037E-2</v>
      </c>
    </row>
    <row r="1045" spans="1:7">
      <c r="A1045" s="46">
        <v>324.33999999999997</v>
      </c>
      <c r="B1045" s="46">
        <v>336.22</v>
      </c>
      <c r="C1045" s="46">
        <v>321.5</v>
      </c>
      <c r="D1045" s="46">
        <v>335.22</v>
      </c>
      <c r="E1045" s="46">
        <v>2414490</v>
      </c>
      <c r="F1045" s="46" t="s">
        <v>1075</v>
      </c>
      <c r="G1045" s="25">
        <f t="shared" si="20"/>
        <v>-3.2456297356959762E-2</v>
      </c>
    </row>
    <row r="1046" spans="1:7">
      <c r="A1046" s="46">
        <v>334.74</v>
      </c>
      <c r="B1046" s="46">
        <v>339.67</v>
      </c>
      <c r="C1046" s="46">
        <v>328.2</v>
      </c>
      <c r="D1046" s="46">
        <v>332.81369999999998</v>
      </c>
      <c r="E1046" s="46">
        <v>1763680</v>
      </c>
      <c r="F1046" s="46" t="s">
        <v>1076</v>
      </c>
      <c r="G1046" s="25">
        <f t="shared" si="20"/>
        <v>5.7879227928419041E-3</v>
      </c>
    </row>
    <row r="1047" spans="1:7">
      <c r="A1047" s="46">
        <v>329.23</v>
      </c>
      <c r="B1047" s="46">
        <v>334.95</v>
      </c>
      <c r="C1047" s="46">
        <v>328.04</v>
      </c>
      <c r="D1047" s="46">
        <v>330.67</v>
      </c>
      <c r="E1047" s="46">
        <v>1491805</v>
      </c>
      <c r="F1047" s="46" t="s">
        <v>1077</v>
      </c>
      <c r="G1047" s="25">
        <f t="shared" si="20"/>
        <v>-4.3547948105361334E-3</v>
      </c>
    </row>
    <row r="1048" spans="1:7">
      <c r="A1048" s="46">
        <v>339.42</v>
      </c>
      <c r="B1048" s="46">
        <v>340.5</v>
      </c>
      <c r="C1048" s="46">
        <v>331.79</v>
      </c>
      <c r="D1048" s="46">
        <v>335.45</v>
      </c>
      <c r="E1048" s="46">
        <v>993529</v>
      </c>
      <c r="F1048" s="46" t="s">
        <v>1078</v>
      </c>
      <c r="G1048" s="25">
        <f t="shared" si="20"/>
        <v>1.1834848710687185E-2</v>
      </c>
    </row>
    <row r="1049" spans="1:7">
      <c r="A1049" s="46">
        <v>335.9</v>
      </c>
      <c r="B1049" s="46">
        <v>341.69</v>
      </c>
      <c r="C1049" s="46">
        <v>332.81</v>
      </c>
      <c r="D1049" s="46">
        <v>341</v>
      </c>
      <c r="E1049" s="46">
        <v>2072368</v>
      </c>
      <c r="F1049" s="46" t="s">
        <v>1079</v>
      </c>
      <c r="G1049" s="25">
        <f t="shared" si="20"/>
        <v>-1.4956011730205332E-2</v>
      </c>
    </row>
    <row r="1050" spans="1:7">
      <c r="A1050" s="46">
        <v>340.72</v>
      </c>
      <c r="B1050" s="46">
        <v>349</v>
      </c>
      <c r="C1050" s="46">
        <v>340.43</v>
      </c>
      <c r="D1050" s="46">
        <v>348</v>
      </c>
      <c r="E1050" s="46">
        <v>2041454</v>
      </c>
      <c r="F1050" s="46" t="s">
        <v>1080</v>
      </c>
      <c r="G1050" s="25">
        <f t="shared" si="20"/>
        <v>-2.0919540229884959E-2</v>
      </c>
    </row>
    <row r="1051" spans="1:7">
      <c r="A1051" s="46">
        <v>348.65</v>
      </c>
      <c r="B1051" s="46">
        <v>359.96</v>
      </c>
      <c r="C1051" s="46">
        <v>346</v>
      </c>
      <c r="D1051" s="46">
        <v>359.2</v>
      </c>
      <c r="E1051" s="46">
        <v>1680834</v>
      </c>
      <c r="F1051" s="46" t="s">
        <v>1081</v>
      </c>
      <c r="G1051" s="25">
        <f t="shared" si="20"/>
        <v>-2.9370824053452149E-2</v>
      </c>
    </row>
    <row r="1052" spans="1:7">
      <c r="A1052" s="46">
        <v>359.2</v>
      </c>
      <c r="B1052" s="46">
        <v>362.66</v>
      </c>
      <c r="C1052" s="46">
        <v>356.42</v>
      </c>
      <c r="D1052" s="46">
        <v>361.46</v>
      </c>
      <c r="E1052" s="46">
        <v>896676</v>
      </c>
      <c r="F1052" s="46" t="s">
        <v>1082</v>
      </c>
      <c r="G1052" s="25">
        <f t="shared" si="20"/>
        <v>-6.2524207381176033E-3</v>
      </c>
    </row>
    <row r="1053" spans="1:7">
      <c r="A1053" s="46">
        <v>361.42</v>
      </c>
      <c r="B1053" s="46">
        <v>364.22</v>
      </c>
      <c r="C1053" s="46">
        <v>358</v>
      </c>
      <c r="D1053" s="46">
        <v>361.12</v>
      </c>
      <c r="E1053" s="46">
        <v>1449220</v>
      </c>
      <c r="F1053" s="46" t="s">
        <v>1083</v>
      </c>
      <c r="G1053" s="25">
        <f t="shared" si="20"/>
        <v>8.3074878156841336E-4</v>
      </c>
    </row>
    <row r="1054" spans="1:7">
      <c r="A1054" s="46">
        <v>361.12</v>
      </c>
      <c r="B1054" s="46">
        <v>362.82</v>
      </c>
      <c r="C1054" s="46">
        <v>351.86</v>
      </c>
      <c r="D1054" s="46">
        <v>351.86</v>
      </c>
      <c r="E1054" s="46">
        <v>1182221</v>
      </c>
      <c r="F1054" s="46" t="s">
        <v>1084</v>
      </c>
      <c r="G1054" s="25">
        <f t="shared" si="20"/>
        <v>2.6317285283919745E-2</v>
      </c>
    </row>
    <row r="1055" spans="1:7">
      <c r="A1055" s="46">
        <v>353.56</v>
      </c>
      <c r="B1055" s="46">
        <v>357.18860000000001</v>
      </c>
      <c r="C1055" s="46">
        <v>351.73</v>
      </c>
      <c r="D1055" s="46">
        <v>355.51</v>
      </c>
      <c r="E1055" s="46">
        <v>878392</v>
      </c>
      <c r="F1055" s="46" t="s">
        <v>1085</v>
      </c>
      <c r="G1055" s="25">
        <f t="shared" si="20"/>
        <v>-5.4850777755899305E-3</v>
      </c>
    </row>
    <row r="1056" spans="1:7">
      <c r="A1056" s="46">
        <v>354.93</v>
      </c>
      <c r="B1056" s="46">
        <v>356.66500000000002</v>
      </c>
      <c r="C1056" s="46">
        <v>350.47</v>
      </c>
      <c r="D1056" s="46">
        <v>353.68</v>
      </c>
      <c r="E1056" s="46">
        <v>928160</v>
      </c>
      <c r="F1056" s="46" t="s">
        <v>1086</v>
      </c>
      <c r="G1056" s="25">
        <f t="shared" si="20"/>
        <v>3.5342682650982837E-3</v>
      </c>
    </row>
    <row r="1057" spans="1:7">
      <c r="A1057" s="46">
        <v>350.79</v>
      </c>
      <c r="B1057" s="46">
        <v>360.26</v>
      </c>
      <c r="C1057" s="46">
        <v>348.65</v>
      </c>
      <c r="D1057" s="46">
        <v>360</v>
      </c>
      <c r="E1057" s="46">
        <v>1376730</v>
      </c>
      <c r="F1057" s="46" t="s">
        <v>1087</v>
      </c>
      <c r="G1057" s="25">
        <f t="shared" ref="G1057:G1120" si="21">A1057/D1057-1</f>
        <v>-2.5583333333333291E-2</v>
      </c>
    </row>
    <row r="1058" spans="1:7">
      <c r="A1058" s="46">
        <v>359.49</v>
      </c>
      <c r="B1058" s="46">
        <v>367.48</v>
      </c>
      <c r="C1058" s="46">
        <v>357.89</v>
      </c>
      <c r="D1058" s="46">
        <v>363</v>
      </c>
      <c r="E1058" s="46">
        <v>1082148</v>
      </c>
      <c r="F1058" s="46" t="s">
        <v>1088</v>
      </c>
      <c r="G1058" s="25">
        <f t="shared" si="21"/>
        <v>-9.6694214876033024E-3</v>
      </c>
    </row>
    <row r="1059" spans="1:7">
      <c r="A1059" s="46">
        <v>364.15</v>
      </c>
      <c r="B1059" s="46">
        <v>366.79</v>
      </c>
      <c r="C1059" s="46">
        <v>362.57</v>
      </c>
      <c r="D1059" s="46">
        <v>365</v>
      </c>
      <c r="E1059" s="46">
        <v>1123847</v>
      </c>
      <c r="F1059" s="46" t="s">
        <v>1089</v>
      </c>
      <c r="G1059" s="25">
        <f t="shared" si="21"/>
        <v>-2.3287671232877782E-3</v>
      </c>
    </row>
    <row r="1060" spans="1:7">
      <c r="A1060" s="46">
        <v>365.42</v>
      </c>
      <c r="B1060" s="46">
        <v>368.14</v>
      </c>
      <c r="C1060" s="46">
        <v>361.97</v>
      </c>
      <c r="D1060" s="46">
        <v>366.02</v>
      </c>
      <c r="E1060" s="46">
        <v>908151</v>
      </c>
      <c r="F1060" s="46" t="s">
        <v>1090</v>
      </c>
      <c r="G1060" s="25">
        <f t="shared" si="21"/>
        <v>-1.6392546855361623E-3</v>
      </c>
    </row>
    <row r="1061" spans="1:7">
      <c r="A1061" s="46">
        <v>364.95</v>
      </c>
      <c r="B1061" s="46">
        <v>369.69</v>
      </c>
      <c r="C1061" s="46">
        <v>359.49</v>
      </c>
      <c r="D1061" s="46">
        <v>363.42</v>
      </c>
      <c r="E1061" s="46">
        <v>1575465</v>
      </c>
      <c r="F1061" s="46" t="s">
        <v>1091</v>
      </c>
      <c r="G1061" s="25">
        <f t="shared" si="21"/>
        <v>4.2100049529469885E-3</v>
      </c>
    </row>
    <row r="1062" spans="1:7">
      <c r="A1062" s="46">
        <v>363.32</v>
      </c>
      <c r="B1062" s="46">
        <v>364.4</v>
      </c>
      <c r="C1062" s="46">
        <v>359.01</v>
      </c>
      <c r="D1062" s="46">
        <v>361.49</v>
      </c>
      <c r="E1062" s="46">
        <v>1067764</v>
      </c>
      <c r="F1062" s="46" t="s">
        <v>1092</v>
      </c>
      <c r="G1062" s="25">
        <f t="shared" si="21"/>
        <v>5.0623807020939715E-3</v>
      </c>
    </row>
    <row r="1063" spans="1:7">
      <c r="A1063" s="46">
        <v>361.49</v>
      </c>
      <c r="B1063" s="46">
        <v>362.92</v>
      </c>
      <c r="C1063" s="46">
        <v>353.96</v>
      </c>
      <c r="D1063" s="46">
        <v>360.29</v>
      </c>
      <c r="E1063" s="46">
        <v>1410210</v>
      </c>
      <c r="F1063" s="46" t="s">
        <v>1093</v>
      </c>
      <c r="G1063" s="25">
        <f t="shared" si="21"/>
        <v>3.3306503094729933E-3</v>
      </c>
    </row>
    <row r="1064" spans="1:7">
      <c r="A1064" s="46">
        <v>360.37</v>
      </c>
      <c r="B1064" s="46">
        <v>361.5</v>
      </c>
      <c r="C1064" s="46">
        <v>354.55</v>
      </c>
      <c r="D1064" s="46">
        <v>356.58</v>
      </c>
      <c r="E1064" s="46">
        <v>1046622</v>
      </c>
      <c r="F1064" s="46" t="s">
        <v>1094</v>
      </c>
      <c r="G1064" s="25">
        <f t="shared" si="21"/>
        <v>1.0628750911436446E-2</v>
      </c>
    </row>
    <row r="1065" spans="1:7">
      <c r="A1065" s="46">
        <v>355.03</v>
      </c>
      <c r="B1065" s="46">
        <v>365.52</v>
      </c>
      <c r="C1065" s="46">
        <v>354.53</v>
      </c>
      <c r="D1065" s="46">
        <v>361.69</v>
      </c>
      <c r="E1065" s="46">
        <v>1812543</v>
      </c>
      <c r="F1065" s="46" t="s">
        <v>1095</v>
      </c>
      <c r="G1065" s="25">
        <f t="shared" si="21"/>
        <v>-1.8413558572258126E-2</v>
      </c>
    </row>
    <row r="1066" spans="1:7">
      <c r="A1066" s="46">
        <v>361.13</v>
      </c>
      <c r="B1066" s="46">
        <v>362.67</v>
      </c>
      <c r="C1066" s="46">
        <v>352.92</v>
      </c>
      <c r="D1066" s="46">
        <v>353.85</v>
      </c>
      <c r="E1066" s="46">
        <v>1558746</v>
      </c>
      <c r="F1066" s="46" t="s">
        <v>1096</v>
      </c>
      <c r="G1066" s="25">
        <f t="shared" si="21"/>
        <v>2.0573689416419239E-2</v>
      </c>
    </row>
    <row r="1067" spans="1:7">
      <c r="A1067" s="46">
        <v>355.61</v>
      </c>
      <c r="B1067" s="46">
        <v>356.63</v>
      </c>
      <c r="C1067" s="46">
        <v>349.24</v>
      </c>
      <c r="D1067" s="46">
        <v>349.24</v>
      </c>
      <c r="E1067" s="46">
        <v>1371941</v>
      </c>
      <c r="F1067" s="46" t="s">
        <v>1097</v>
      </c>
      <c r="G1067" s="25">
        <f t="shared" si="21"/>
        <v>1.8239606001603459E-2</v>
      </c>
    </row>
    <row r="1068" spans="1:7">
      <c r="A1068" s="46">
        <v>348.98</v>
      </c>
      <c r="B1068" s="46">
        <v>350.63</v>
      </c>
      <c r="C1068" s="46">
        <v>340.85</v>
      </c>
      <c r="D1068" s="46">
        <v>348.69</v>
      </c>
      <c r="E1068" s="46">
        <v>1684174</v>
      </c>
      <c r="F1068" s="46" t="s">
        <v>1098</v>
      </c>
      <c r="G1068" s="25">
        <f t="shared" si="21"/>
        <v>8.3168430410962557E-4</v>
      </c>
    </row>
    <row r="1069" spans="1:7">
      <c r="A1069" s="46">
        <v>348.7</v>
      </c>
      <c r="B1069" s="46">
        <v>351.19</v>
      </c>
      <c r="C1069" s="46">
        <v>343.59</v>
      </c>
      <c r="D1069" s="46">
        <v>346.71</v>
      </c>
      <c r="E1069" s="46">
        <v>1737021</v>
      </c>
      <c r="F1069" s="46" t="s">
        <v>1099</v>
      </c>
      <c r="G1069" s="25">
        <f t="shared" si="21"/>
        <v>5.7396671569900359E-3</v>
      </c>
    </row>
    <row r="1070" spans="1:7">
      <c r="A1070" s="46">
        <v>343.59</v>
      </c>
      <c r="B1070" s="46">
        <v>347.09</v>
      </c>
      <c r="C1070" s="46">
        <v>336.76</v>
      </c>
      <c r="D1070" s="46">
        <v>340.19</v>
      </c>
      <c r="E1070" s="46">
        <v>1938376</v>
      </c>
      <c r="F1070" s="46" t="s">
        <v>1100</v>
      </c>
      <c r="G1070" s="25">
        <f t="shared" si="21"/>
        <v>9.9944148857991078E-3</v>
      </c>
    </row>
    <row r="1071" spans="1:7">
      <c r="A1071" s="46">
        <v>341.52</v>
      </c>
      <c r="B1071" s="46">
        <v>342.82</v>
      </c>
      <c r="C1071" s="46">
        <v>337.64</v>
      </c>
      <c r="D1071" s="46">
        <v>339.75</v>
      </c>
      <c r="E1071" s="46">
        <v>1318992</v>
      </c>
      <c r="F1071" s="46" t="s">
        <v>1101</v>
      </c>
      <c r="G1071" s="25">
        <f t="shared" si="21"/>
        <v>5.2097130242825251E-3</v>
      </c>
    </row>
    <row r="1072" spans="1:7">
      <c r="A1072" s="46">
        <v>339.63</v>
      </c>
      <c r="B1072" s="46">
        <v>343.26</v>
      </c>
      <c r="C1072" s="46">
        <v>337.44</v>
      </c>
      <c r="D1072" s="46">
        <v>342.22</v>
      </c>
      <c r="E1072" s="46">
        <v>1338068</v>
      </c>
      <c r="F1072" s="46" t="s">
        <v>1102</v>
      </c>
      <c r="G1072" s="25">
        <f t="shared" si="21"/>
        <v>-7.56823096253878E-3</v>
      </c>
    </row>
    <row r="1073" spans="1:7">
      <c r="A1073" s="46">
        <v>339.8</v>
      </c>
      <c r="B1073" s="46">
        <v>341.9</v>
      </c>
      <c r="C1073" s="46">
        <v>327.38650000000001</v>
      </c>
      <c r="D1073" s="46">
        <v>338</v>
      </c>
      <c r="E1073" s="46">
        <v>2458224</v>
      </c>
      <c r="F1073" s="46" t="s">
        <v>1103</v>
      </c>
      <c r="G1073" s="25">
        <f t="shared" si="21"/>
        <v>5.3254437869822979E-3</v>
      </c>
    </row>
    <row r="1074" spans="1:7">
      <c r="A1074" s="46">
        <v>336.3</v>
      </c>
      <c r="B1074" s="46">
        <v>345.16</v>
      </c>
      <c r="C1074" s="46">
        <v>332.17</v>
      </c>
      <c r="D1074" s="46">
        <v>338.11</v>
      </c>
      <c r="E1074" s="46">
        <v>3642534</v>
      </c>
      <c r="F1074" s="46" t="s">
        <v>1104</v>
      </c>
      <c r="G1074" s="25">
        <f t="shared" si="21"/>
        <v>-5.3532873916772861E-3</v>
      </c>
    </row>
    <row r="1075" spans="1:7">
      <c r="A1075" s="46">
        <v>332.3</v>
      </c>
      <c r="B1075" s="46">
        <v>332.38</v>
      </c>
      <c r="C1075" s="46">
        <v>323.04480000000001</v>
      </c>
      <c r="D1075" s="46">
        <v>330.33</v>
      </c>
      <c r="E1075" s="46">
        <v>1530614</v>
      </c>
      <c r="F1075" s="46" t="s">
        <v>1105</v>
      </c>
      <c r="G1075" s="25">
        <f t="shared" si="21"/>
        <v>5.9637332364605999E-3</v>
      </c>
    </row>
    <row r="1076" spans="1:7">
      <c r="A1076" s="46">
        <v>331.5</v>
      </c>
      <c r="B1076" s="46">
        <v>333.45</v>
      </c>
      <c r="C1076" s="46">
        <v>330</v>
      </c>
      <c r="D1076" s="46">
        <v>332.2</v>
      </c>
      <c r="E1076" s="46">
        <v>1387247</v>
      </c>
      <c r="F1076" s="46" t="s">
        <v>1106</v>
      </c>
      <c r="G1076" s="25">
        <f t="shared" si="21"/>
        <v>-2.1071643588199684E-3</v>
      </c>
    </row>
    <row r="1077" spans="1:7">
      <c r="A1077" s="46">
        <v>330.95</v>
      </c>
      <c r="B1077" s="46">
        <v>332.78</v>
      </c>
      <c r="C1077" s="46">
        <v>328.32</v>
      </c>
      <c r="D1077" s="46">
        <v>328.39</v>
      </c>
      <c r="E1077" s="46">
        <v>1432563</v>
      </c>
      <c r="F1077" s="46" t="s">
        <v>1107</v>
      </c>
      <c r="G1077" s="25">
        <f t="shared" si="21"/>
        <v>7.7956088796857781E-3</v>
      </c>
    </row>
    <row r="1078" spans="1:7">
      <c r="A1078" s="46">
        <v>326</v>
      </c>
      <c r="B1078" s="46">
        <v>328.72</v>
      </c>
      <c r="C1078" s="46">
        <v>325.14</v>
      </c>
      <c r="D1078" s="46">
        <v>325.67</v>
      </c>
      <c r="E1078" s="46">
        <v>1867136</v>
      </c>
      <c r="F1078" s="46" t="s">
        <v>1108</v>
      </c>
      <c r="G1078" s="25">
        <f t="shared" si="21"/>
        <v>1.0132956673933879E-3</v>
      </c>
    </row>
    <row r="1079" spans="1:7">
      <c r="A1079" s="46">
        <v>324.45</v>
      </c>
      <c r="B1079" s="46">
        <v>329.1</v>
      </c>
      <c r="C1079" s="46">
        <v>321.88</v>
      </c>
      <c r="D1079" s="46">
        <v>328</v>
      </c>
      <c r="E1079" s="46">
        <v>1277058</v>
      </c>
      <c r="F1079" s="46" t="s">
        <v>1109</v>
      </c>
      <c r="G1079" s="25">
        <f t="shared" si="21"/>
        <v>-1.0823170731707354E-2</v>
      </c>
    </row>
    <row r="1080" spans="1:7">
      <c r="A1080" s="46">
        <v>324.18</v>
      </c>
      <c r="B1080" s="46">
        <v>329.21</v>
      </c>
      <c r="C1080" s="46">
        <v>323.83999999999997</v>
      </c>
      <c r="D1080" s="46">
        <v>326.5</v>
      </c>
      <c r="E1080" s="46">
        <v>979371</v>
      </c>
      <c r="F1080" s="46" t="s">
        <v>1110</v>
      </c>
      <c r="G1080" s="25">
        <f t="shared" si="21"/>
        <v>-7.1056661562021173E-3</v>
      </c>
    </row>
    <row r="1081" spans="1:7">
      <c r="A1081" s="46">
        <v>328.54</v>
      </c>
      <c r="B1081" s="46">
        <v>342.1</v>
      </c>
      <c r="C1081" s="46">
        <v>328.01</v>
      </c>
      <c r="D1081" s="46">
        <v>339.69</v>
      </c>
      <c r="E1081" s="46">
        <v>1368137</v>
      </c>
      <c r="F1081" s="46" t="s">
        <v>1111</v>
      </c>
      <c r="G1081" s="25">
        <f t="shared" si="21"/>
        <v>-3.2824045453207273E-2</v>
      </c>
    </row>
    <row r="1082" spans="1:7">
      <c r="A1082" s="46">
        <v>338.34</v>
      </c>
      <c r="B1082" s="46">
        <v>346.84</v>
      </c>
      <c r="C1082" s="46">
        <v>337.85</v>
      </c>
      <c r="D1082" s="46">
        <v>341.36</v>
      </c>
      <c r="E1082" s="46">
        <v>1906609</v>
      </c>
      <c r="F1082" s="46" t="s">
        <v>1112</v>
      </c>
      <c r="G1082" s="25">
        <f t="shared" si="21"/>
        <v>-8.8469650808531419E-3</v>
      </c>
    </row>
    <row r="1083" spans="1:7">
      <c r="A1083" s="46">
        <v>334.94</v>
      </c>
      <c r="B1083" s="46">
        <v>335.38</v>
      </c>
      <c r="C1083" s="46">
        <v>327.5</v>
      </c>
      <c r="D1083" s="46">
        <v>329.54</v>
      </c>
      <c r="E1083" s="46">
        <v>1850937</v>
      </c>
      <c r="F1083" s="46" t="s">
        <v>1113</v>
      </c>
      <c r="G1083" s="25">
        <f t="shared" si="21"/>
        <v>1.6386478121017012E-2</v>
      </c>
    </row>
    <row r="1084" spans="1:7">
      <c r="A1084" s="46">
        <v>330.07</v>
      </c>
      <c r="B1084" s="46">
        <v>335.08</v>
      </c>
      <c r="C1084" s="46">
        <v>323.60000000000002</v>
      </c>
      <c r="D1084" s="46">
        <v>325.93</v>
      </c>
      <c r="E1084" s="46">
        <v>1478158</v>
      </c>
      <c r="F1084" s="46" t="s">
        <v>1114</v>
      </c>
      <c r="G1084" s="25">
        <f t="shared" si="21"/>
        <v>1.2702113950848304E-2</v>
      </c>
    </row>
    <row r="1085" spans="1:7">
      <c r="A1085" s="46">
        <v>323.5</v>
      </c>
      <c r="B1085" s="46">
        <v>333.71597000000003</v>
      </c>
      <c r="C1085" s="46">
        <v>321.05333999999999</v>
      </c>
      <c r="D1085" s="46">
        <v>333.35333000000003</v>
      </c>
      <c r="E1085" s="46">
        <v>702929</v>
      </c>
      <c r="F1085" s="46" t="s">
        <v>1115</v>
      </c>
      <c r="G1085" s="25">
        <f t="shared" si="21"/>
        <v>-2.9558216802574089E-2</v>
      </c>
    </row>
    <row r="1086" spans="1:7">
      <c r="A1086" s="46">
        <v>336.5</v>
      </c>
      <c r="B1086" s="46">
        <v>340.52</v>
      </c>
      <c r="C1086" s="46">
        <v>325.33334000000002</v>
      </c>
      <c r="D1086" s="46">
        <v>331.33334000000002</v>
      </c>
      <c r="E1086" s="46">
        <v>750396</v>
      </c>
      <c r="F1086" s="46" t="s">
        <v>1116</v>
      </c>
      <c r="G1086" s="25">
        <f t="shared" si="21"/>
        <v>1.5593540933731553E-2</v>
      </c>
    </row>
    <row r="1087" spans="1:7">
      <c r="A1087" s="46">
        <v>331.38333</v>
      </c>
      <c r="B1087" s="46">
        <v>336.76666</v>
      </c>
      <c r="C1087" s="46">
        <v>331.11</v>
      </c>
      <c r="D1087" s="46">
        <v>332.49</v>
      </c>
      <c r="E1087" s="46">
        <v>460108</v>
      </c>
      <c r="F1087" s="46" t="s">
        <v>1117</v>
      </c>
      <c r="G1087" s="25">
        <f t="shared" si="21"/>
        <v>-3.3284309302535897E-3</v>
      </c>
    </row>
    <row r="1088" spans="1:7">
      <c r="A1088" s="46">
        <v>330.78332999999998</v>
      </c>
      <c r="B1088" s="46">
        <v>334.67833999999999</v>
      </c>
      <c r="C1088" s="46">
        <v>329.67</v>
      </c>
      <c r="D1088" s="46">
        <v>331.96667000000002</v>
      </c>
      <c r="E1088" s="46">
        <v>457216</v>
      </c>
      <c r="F1088" s="46" t="s">
        <v>1118</v>
      </c>
      <c r="G1088" s="25">
        <f t="shared" si="21"/>
        <v>-3.564634967721414E-3</v>
      </c>
    </row>
    <row r="1089" spans="1:7">
      <c r="A1089" s="46">
        <v>330.83</v>
      </c>
      <c r="B1089" s="46">
        <v>335.57666</v>
      </c>
      <c r="C1089" s="46">
        <v>326.17667</v>
      </c>
      <c r="D1089" s="46">
        <v>335.17667</v>
      </c>
      <c r="E1089" s="46">
        <v>684952</v>
      </c>
      <c r="F1089" s="46" t="s">
        <v>1119</v>
      </c>
      <c r="G1089" s="25">
        <f t="shared" si="21"/>
        <v>-1.2968295197872903E-2</v>
      </c>
    </row>
    <row r="1090" spans="1:7">
      <c r="A1090" s="46">
        <v>337.91665999999998</v>
      </c>
      <c r="B1090" s="46">
        <v>346.66332999999997</v>
      </c>
      <c r="C1090" s="46">
        <v>334.33334000000002</v>
      </c>
      <c r="D1090" s="46">
        <v>346.63</v>
      </c>
      <c r="E1090" s="46">
        <v>636502</v>
      </c>
      <c r="F1090" s="46" t="s">
        <v>1120</v>
      </c>
      <c r="G1090" s="25">
        <f t="shared" si="21"/>
        <v>-2.5137293367567759E-2</v>
      </c>
    </row>
    <row r="1091" spans="1:7">
      <c r="A1091" s="46">
        <v>347.77667000000002</v>
      </c>
      <c r="B1091" s="46">
        <v>348.65667999999999</v>
      </c>
      <c r="C1091" s="46">
        <v>343.49</v>
      </c>
      <c r="D1091" s="46">
        <v>346.86</v>
      </c>
      <c r="E1091" s="46">
        <v>494986</v>
      </c>
      <c r="F1091" s="46" t="s">
        <v>1121</v>
      </c>
      <c r="G1091" s="25">
        <f t="shared" si="21"/>
        <v>2.6427665340482687E-3</v>
      </c>
    </row>
    <row r="1092" spans="1:7">
      <c r="A1092" s="46">
        <v>348.28</v>
      </c>
      <c r="B1092" s="46">
        <v>350.63333</v>
      </c>
      <c r="C1092" s="46">
        <v>343.51</v>
      </c>
      <c r="D1092" s="46">
        <v>343.75</v>
      </c>
      <c r="E1092" s="46">
        <v>638723</v>
      </c>
      <c r="F1092" s="46" t="s">
        <v>1122</v>
      </c>
      <c r="G1092" s="25">
        <f t="shared" si="21"/>
        <v>1.3178181818181756E-2</v>
      </c>
    </row>
    <row r="1093" spans="1:7">
      <c r="A1093" s="46">
        <v>342.82333</v>
      </c>
      <c r="B1093" s="46">
        <v>345.77334999999999</v>
      </c>
      <c r="C1093" s="46">
        <v>338.33334000000002</v>
      </c>
      <c r="D1093" s="46">
        <v>340</v>
      </c>
      <c r="E1093" s="46">
        <v>526115</v>
      </c>
      <c r="F1093" s="46" t="s">
        <v>1123</v>
      </c>
      <c r="G1093" s="25">
        <f t="shared" si="21"/>
        <v>8.3039117647059069E-3</v>
      </c>
    </row>
    <row r="1094" spans="1:7">
      <c r="A1094" s="46">
        <v>338.01334000000003</v>
      </c>
      <c r="B1094" s="46">
        <v>343.20666999999997</v>
      </c>
      <c r="C1094" s="46">
        <v>337.66665999999998</v>
      </c>
      <c r="D1094" s="46">
        <v>340.28665000000001</v>
      </c>
      <c r="E1094" s="46">
        <v>637926</v>
      </c>
      <c r="F1094" s="46" t="s">
        <v>1124</v>
      </c>
      <c r="G1094" s="25">
        <f t="shared" si="21"/>
        <v>-6.6805735693715729E-3</v>
      </c>
    </row>
    <row r="1095" spans="1:7">
      <c r="A1095" s="46">
        <v>337.99666999999999</v>
      </c>
      <c r="B1095" s="46">
        <v>343.95666999999997</v>
      </c>
      <c r="C1095" s="46">
        <v>333.35</v>
      </c>
      <c r="D1095" s="46">
        <v>341.46667000000002</v>
      </c>
      <c r="E1095" s="46">
        <v>662518</v>
      </c>
      <c r="F1095" s="46" t="s">
        <v>1125</v>
      </c>
      <c r="G1095" s="25">
        <f t="shared" si="21"/>
        <v>-1.0162045976551792E-2</v>
      </c>
    </row>
    <row r="1096" spans="1:7">
      <c r="A1096" s="46">
        <v>345.75664999999998</v>
      </c>
      <c r="B1096" s="46">
        <v>346.82</v>
      </c>
      <c r="C1096" s="46">
        <v>342.67667</v>
      </c>
      <c r="D1096" s="46">
        <v>345.09667999999999</v>
      </c>
      <c r="E1096" s="46">
        <v>635359</v>
      </c>
      <c r="F1096" s="46" t="s">
        <v>1126</v>
      </c>
      <c r="G1096" s="25">
        <f t="shared" si="21"/>
        <v>1.912420600511E-3</v>
      </c>
    </row>
    <row r="1097" spans="1:7">
      <c r="A1097" s="46">
        <v>344.67</v>
      </c>
      <c r="B1097" s="46">
        <v>349.14166</v>
      </c>
      <c r="C1097" s="46">
        <v>342.92</v>
      </c>
      <c r="D1097" s="46">
        <v>348.52667000000002</v>
      </c>
      <c r="E1097" s="46">
        <v>513478</v>
      </c>
      <c r="F1097" s="46" t="s">
        <v>1127</v>
      </c>
      <c r="G1097" s="25">
        <f t="shared" si="21"/>
        <v>-1.1065638104538755E-2</v>
      </c>
    </row>
    <row r="1098" spans="1:7">
      <c r="A1098" s="46">
        <v>348.50664999999998</v>
      </c>
      <c r="B1098" s="46">
        <v>348.98665999999997</v>
      </c>
      <c r="C1098" s="46">
        <v>343.70666999999997</v>
      </c>
      <c r="D1098" s="46">
        <v>346.66665999999998</v>
      </c>
      <c r="E1098" s="46">
        <v>536113</v>
      </c>
      <c r="F1098" s="46" t="s">
        <v>1128</v>
      </c>
      <c r="G1098" s="25">
        <f t="shared" si="21"/>
        <v>5.3076635636088998E-3</v>
      </c>
    </row>
    <row r="1099" spans="1:7">
      <c r="A1099" s="46">
        <v>346.33667000000003</v>
      </c>
      <c r="B1099" s="46">
        <v>348.95666999999997</v>
      </c>
      <c r="C1099" s="46">
        <v>342.66</v>
      </c>
      <c r="D1099" s="46">
        <v>344.52334999999999</v>
      </c>
      <c r="E1099" s="46">
        <v>550395</v>
      </c>
      <c r="F1099" s="46" t="s">
        <v>1129</v>
      </c>
      <c r="G1099" s="25">
        <f t="shared" si="21"/>
        <v>5.2632717056768641E-3</v>
      </c>
    </row>
    <row r="1100" spans="1:7">
      <c r="A1100" s="46">
        <v>342.60665999999998</v>
      </c>
      <c r="B1100" s="46">
        <v>344.19333</v>
      </c>
      <c r="C1100" s="46">
        <v>337.00002999999998</v>
      </c>
      <c r="D1100" s="46">
        <v>343.81</v>
      </c>
      <c r="E1100" s="46">
        <v>635713</v>
      </c>
      <c r="F1100" s="46" t="s">
        <v>1130</v>
      </c>
      <c r="G1100" s="25">
        <f t="shared" si="21"/>
        <v>-3.5000145429162632E-3</v>
      </c>
    </row>
    <row r="1101" spans="1:7">
      <c r="A1101" s="46">
        <v>341.15667999999999</v>
      </c>
      <c r="B1101" s="46">
        <v>360.68167</v>
      </c>
      <c r="C1101" s="46">
        <v>337.66665999999998</v>
      </c>
      <c r="D1101" s="46">
        <v>359.55</v>
      </c>
      <c r="E1101" s="46">
        <v>1143665</v>
      </c>
      <c r="F1101" s="46" t="s">
        <v>1131</v>
      </c>
      <c r="G1101" s="25">
        <f t="shared" si="21"/>
        <v>-5.1156501182033187E-2</v>
      </c>
    </row>
    <row r="1102" spans="1:7">
      <c r="A1102" s="46">
        <v>356.67</v>
      </c>
      <c r="B1102" s="46">
        <v>361.95330000000001</v>
      </c>
      <c r="C1102" s="46">
        <v>356.55</v>
      </c>
      <c r="D1102" s="46">
        <v>361.05333999999999</v>
      </c>
      <c r="E1102" s="46">
        <v>388008</v>
      </c>
      <c r="F1102" s="46" t="s">
        <v>1132</v>
      </c>
      <c r="G1102" s="25">
        <f t="shared" si="21"/>
        <v>-1.214042224342804E-2</v>
      </c>
    </row>
    <row r="1103" spans="1:7">
      <c r="A1103" s="46">
        <v>360.85333000000003</v>
      </c>
      <c r="B1103" s="46">
        <v>362.33667000000003</v>
      </c>
      <c r="C1103" s="46">
        <v>357.46667000000002</v>
      </c>
      <c r="D1103" s="46">
        <v>359.33334000000002</v>
      </c>
      <c r="E1103" s="46">
        <v>349419</v>
      </c>
      <c r="F1103" s="46" t="s">
        <v>1133</v>
      </c>
      <c r="G1103" s="25">
        <f t="shared" si="21"/>
        <v>4.2300277508344752E-3</v>
      </c>
    </row>
    <row r="1104" spans="1:7">
      <c r="A1104" s="46">
        <v>359.38666000000001</v>
      </c>
      <c r="B1104" s="46">
        <v>359.52</v>
      </c>
      <c r="C1104" s="46">
        <v>354.33334000000002</v>
      </c>
      <c r="D1104" s="46">
        <v>357.75333000000001</v>
      </c>
      <c r="E1104" s="46">
        <v>329673</v>
      </c>
      <c r="F1104" s="46" t="s">
        <v>1134</v>
      </c>
      <c r="G1104" s="25">
        <f t="shared" si="21"/>
        <v>4.5655200470111623E-3</v>
      </c>
    </row>
    <row r="1105" spans="1:7">
      <c r="A1105" s="46">
        <v>357.25664999999998</v>
      </c>
      <c r="B1105" s="46">
        <v>358.76334000000003</v>
      </c>
      <c r="C1105" s="46">
        <v>352.68331999999998</v>
      </c>
      <c r="D1105" s="46">
        <v>357.10333000000003</v>
      </c>
      <c r="E1105" s="46">
        <v>337728</v>
      </c>
      <c r="F1105" s="46" t="s">
        <v>1135</v>
      </c>
      <c r="G1105" s="25">
        <f t="shared" si="21"/>
        <v>4.2934351802315085E-4</v>
      </c>
    </row>
    <row r="1106" spans="1:7">
      <c r="A1106" s="46">
        <v>357.17667</v>
      </c>
      <c r="B1106" s="46">
        <v>359.02667000000002</v>
      </c>
      <c r="C1106" s="46">
        <v>355.16332999999997</v>
      </c>
      <c r="D1106" s="46">
        <v>355.6</v>
      </c>
      <c r="E1106" s="46">
        <v>403866</v>
      </c>
      <c r="F1106" s="46" t="s">
        <v>1136</v>
      </c>
      <c r="G1106" s="25">
        <f t="shared" si="21"/>
        <v>4.4338301462316654E-3</v>
      </c>
    </row>
    <row r="1107" spans="1:7">
      <c r="A1107" s="46">
        <v>354.23665999999997</v>
      </c>
      <c r="B1107" s="46">
        <v>354.78832999999997</v>
      </c>
      <c r="C1107" s="46">
        <v>349.17667</v>
      </c>
      <c r="D1107" s="46">
        <v>351.66665999999998</v>
      </c>
      <c r="E1107" s="46">
        <v>348879</v>
      </c>
      <c r="F1107" s="46" t="s">
        <v>1137</v>
      </c>
      <c r="G1107" s="25">
        <f t="shared" si="21"/>
        <v>7.3080570105792386E-3</v>
      </c>
    </row>
    <row r="1108" spans="1:7">
      <c r="A1108" s="46">
        <v>351.18668000000002</v>
      </c>
      <c r="B1108" s="46">
        <v>353.92334</v>
      </c>
      <c r="C1108" s="46">
        <v>347.92334</v>
      </c>
      <c r="D1108" s="46">
        <v>353.04333000000003</v>
      </c>
      <c r="E1108" s="46">
        <v>458992</v>
      </c>
      <c r="F1108" s="46" t="s">
        <v>1138</v>
      </c>
      <c r="G1108" s="25">
        <f t="shared" si="21"/>
        <v>-5.2589861986629405E-3</v>
      </c>
    </row>
    <row r="1109" spans="1:7">
      <c r="A1109" s="46">
        <v>352.97</v>
      </c>
      <c r="B1109" s="46">
        <v>353.31668000000002</v>
      </c>
      <c r="C1109" s="46">
        <v>347.05667</v>
      </c>
      <c r="D1109" s="46">
        <v>347.05667</v>
      </c>
      <c r="E1109" s="46">
        <v>296623</v>
      </c>
      <c r="F1109" s="46" t="s">
        <v>1139</v>
      </c>
      <c r="G1109" s="25">
        <f t="shared" si="21"/>
        <v>1.7038514200000909E-2</v>
      </c>
    </row>
    <row r="1110" spans="1:7">
      <c r="A1110" s="46">
        <v>345.50664999999998</v>
      </c>
      <c r="B1110" s="46">
        <v>350.05</v>
      </c>
      <c r="C1110" s="46">
        <v>344.67</v>
      </c>
      <c r="D1110" s="46">
        <v>348.51334000000003</v>
      </c>
      <c r="E1110" s="46">
        <v>458206</v>
      </c>
      <c r="F1110" s="46" t="s">
        <v>1140</v>
      </c>
      <c r="G1110" s="25">
        <f t="shared" si="21"/>
        <v>-8.6271876996159014E-3</v>
      </c>
    </row>
    <row r="1111" spans="1:7">
      <c r="A1111" s="46">
        <v>347.41665999999998</v>
      </c>
      <c r="B1111" s="46">
        <v>350.02</v>
      </c>
      <c r="C1111" s="46">
        <v>345.3</v>
      </c>
      <c r="D1111" s="46">
        <v>349.37331999999998</v>
      </c>
      <c r="E1111" s="46">
        <v>468452</v>
      </c>
      <c r="F1111" s="46" t="s">
        <v>1141</v>
      </c>
      <c r="G1111" s="25">
        <f t="shared" si="21"/>
        <v>-5.6004848910614635E-3</v>
      </c>
    </row>
    <row r="1112" spans="1:7">
      <c r="A1112" s="46">
        <v>347.98665999999997</v>
      </c>
      <c r="B1112" s="46">
        <v>349.99997000000002</v>
      </c>
      <c r="C1112" s="46">
        <v>346.35</v>
      </c>
      <c r="D1112" s="46">
        <v>348.9</v>
      </c>
      <c r="E1112" s="46">
        <v>441622</v>
      </c>
      <c r="F1112" s="46" t="s">
        <v>1142</v>
      </c>
      <c r="G1112" s="25">
        <f t="shared" si="21"/>
        <v>-2.6177701347090965E-3</v>
      </c>
    </row>
    <row r="1113" spans="1:7">
      <c r="A1113" s="46">
        <v>348.89666999999997</v>
      </c>
      <c r="B1113" s="46">
        <v>352.97</v>
      </c>
      <c r="C1113" s="46">
        <v>346.57733000000002</v>
      </c>
      <c r="D1113" s="46">
        <v>350</v>
      </c>
      <c r="E1113" s="46">
        <v>473927</v>
      </c>
      <c r="F1113" s="46" t="s">
        <v>1143</v>
      </c>
      <c r="G1113" s="25">
        <f t="shared" si="21"/>
        <v>-3.1523714285714988E-3</v>
      </c>
    </row>
    <row r="1114" spans="1:7">
      <c r="A1114" s="46">
        <v>348.67334</v>
      </c>
      <c r="B1114" s="46">
        <v>353.26834000000002</v>
      </c>
      <c r="C1114" s="46">
        <v>344.77749999999997</v>
      </c>
      <c r="D1114" s="46">
        <v>350.57333</v>
      </c>
      <c r="E1114" s="46">
        <v>503612</v>
      </c>
      <c r="F1114" s="46" t="s">
        <v>1144</v>
      </c>
      <c r="G1114" s="25">
        <f t="shared" si="21"/>
        <v>-5.4196649813607056E-3</v>
      </c>
    </row>
    <row r="1115" spans="1:7">
      <c r="A1115" s="46">
        <v>347.94</v>
      </c>
      <c r="B1115" s="46">
        <v>353.94324</v>
      </c>
      <c r="C1115" s="46">
        <v>346.97</v>
      </c>
      <c r="D1115" s="46">
        <v>352.12033000000002</v>
      </c>
      <c r="E1115" s="46">
        <v>614010</v>
      </c>
      <c r="F1115" s="46" t="s">
        <v>1145</v>
      </c>
      <c r="G1115" s="25">
        <f t="shared" si="21"/>
        <v>-1.1871879138588892E-2</v>
      </c>
    </row>
    <row r="1116" spans="1:7">
      <c r="A1116" s="46">
        <v>351.88</v>
      </c>
      <c r="B1116" s="46">
        <v>352.97662000000003</v>
      </c>
      <c r="C1116" s="46">
        <v>344.23665999999997</v>
      </c>
      <c r="D1116" s="46">
        <v>345.94</v>
      </c>
      <c r="E1116" s="46">
        <v>486682</v>
      </c>
      <c r="F1116" s="46" t="s">
        <v>1146</v>
      </c>
      <c r="G1116" s="25">
        <f t="shared" si="21"/>
        <v>1.7170607619818368E-2</v>
      </c>
    </row>
    <row r="1117" spans="1:7">
      <c r="A1117" s="46">
        <v>346.46</v>
      </c>
      <c r="B1117" s="46">
        <v>349.66665999999998</v>
      </c>
      <c r="C1117" s="46">
        <v>344.34332000000001</v>
      </c>
      <c r="D1117" s="46">
        <v>344.47665000000001</v>
      </c>
      <c r="E1117" s="46">
        <v>417629</v>
      </c>
      <c r="F1117" s="46" t="s">
        <v>1147</v>
      </c>
      <c r="G1117" s="25">
        <f t="shared" si="21"/>
        <v>5.7575745700033654E-3</v>
      </c>
    </row>
    <row r="1118" spans="1:7">
      <c r="A1118" s="46">
        <v>345</v>
      </c>
      <c r="B1118" s="46">
        <v>346.66665999999998</v>
      </c>
      <c r="C1118" s="46">
        <v>337.20339999999999</v>
      </c>
      <c r="D1118" s="46">
        <v>338.64</v>
      </c>
      <c r="E1118" s="46">
        <v>504162</v>
      </c>
      <c r="F1118" s="46" t="s">
        <v>1148</v>
      </c>
      <c r="G1118" s="25">
        <f t="shared" si="21"/>
        <v>1.8781006378455034E-2</v>
      </c>
    </row>
    <row r="1119" spans="1:7">
      <c r="A1119" s="46">
        <v>339.41332999999997</v>
      </c>
      <c r="B1119" s="46">
        <v>339.68668000000002</v>
      </c>
      <c r="C1119" s="46">
        <v>333.16332999999997</v>
      </c>
      <c r="D1119" s="46">
        <v>334.73665999999997</v>
      </c>
      <c r="E1119" s="46">
        <v>382641</v>
      </c>
      <c r="F1119" s="46" t="s">
        <v>1149</v>
      </c>
      <c r="G1119" s="25">
        <f t="shared" si="21"/>
        <v>1.3971191562943908E-2</v>
      </c>
    </row>
    <row r="1120" spans="1:7">
      <c r="A1120" s="46">
        <v>334.34667999999999</v>
      </c>
      <c r="B1120" s="46">
        <v>335.16665999999998</v>
      </c>
      <c r="C1120" s="46">
        <v>332.13333</v>
      </c>
      <c r="D1120" s="46">
        <v>333.89666999999997</v>
      </c>
      <c r="E1120" s="46">
        <v>488429</v>
      </c>
      <c r="F1120" s="46" t="s">
        <v>1150</v>
      </c>
      <c r="G1120" s="25">
        <f t="shared" si="21"/>
        <v>1.3477522851605972E-3</v>
      </c>
    </row>
    <row r="1121" spans="1:7">
      <c r="A1121" s="46">
        <v>333.33334000000002</v>
      </c>
      <c r="B1121" s="46">
        <v>337.03665000000001</v>
      </c>
      <c r="C1121" s="46">
        <v>332.16</v>
      </c>
      <c r="D1121" s="46">
        <v>332.92</v>
      </c>
      <c r="E1121" s="46">
        <v>525764</v>
      </c>
      <c r="F1121" s="46" t="s">
        <v>1151</v>
      </c>
      <c r="G1121" s="25">
        <f t="shared" ref="G1121:G1184" si="22">A1121/D1121-1</f>
        <v>1.2415595338219898E-3</v>
      </c>
    </row>
    <row r="1122" spans="1:7">
      <c r="A1122" s="46">
        <v>331.88333</v>
      </c>
      <c r="B1122" s="46">
        <v>335.67334</v>
      </c>
      <c r="C1122" s="46">
        <v>328.89</v>
      </c>
      <c r="D1122" s="46">
        <v>333.17</v>
      </c>
      <c r="E1122" s="46">
        <v>442121</v>
      </c>
      <c r="F1122" s="46" t="s">
        <v>1152</v>
      </c>
      <c r="G1122" s="25">
        <f t="shared" si="22"/>
        <v>-3.8619023321427859E-3</v>
      </c>
    </row>
    <row r="1123" spans="1:7">
      <c r="A1123" s="46">
        <v>331.87331999999998</v>
      </c>
      <c r="B1123" s="46">
        <v>345.03332999999998</v>
      </c>
      <c r="C1123" s="46">
        <v>331.46832000000001</v>
      </c>
      <c r="D1123" s="46">
        <v>344.63</v>
      </c>
      <c r="E1123" s="46">
        <v>600333</v>
      </c>
      <c r="F1123" s="46" t="s">
        <v>1153</v>
      </c>
      <c r="G1123" s="25">
        <f t="shared" si="22"/>
        <v>-3.7015581928445007E-2</v>
      </c>
    </row>
    <row r="1124" spans="1:7">
      <c r="A1124" s="46">
        <v>344</v>
      </c>
      <c r="B1124" s="46">
        <v>345.35</v>
      </c>
      <c r="C1124" s="46">
        <v>341.93331999999998</v>
      </c>
      <c r="D1124" s="46">
        <v>344.36333999999999</v>
      </c>
      <c r="E1124" s="46">
        <v>362065</v>
      </c>
      <c r="F1124" s="46" t="s">
        <v>1154</v>
      </c>
      <c r="G1124" s="25">
        <f t="shared" si="22"/>
        <v>-1.0551065046586761E-3</v>
      </c>
    </row>
    <row r="1125" spans="1:7">
      <c r="A1125" s="46">
        <v>343.34</v>
      </c>
      <c r="B1125" s="46">
        <v>343.49408</v>
      </c>
      <c r="C1125" s="46">
        <v>335.74666999999999</v>
      </c>
      <c r="D1125" s="46">
        <v>340</v>
      </c>
      <c r="E1125" s="46">
        <v>496422</v>
      </c>
      <c r="F1125" s="46" t="s">
        <v>1155</v>
      </c>
      <c r="G1125" s="25">
        <f t="shared" si="22"/>
        <v>9.8235294117645644E-3</v>
      </c>
    </row>
    <row r="1126" spans="1:7">
      <c r="A1126" s="46">
        <v>339.7</v>
      </c>
      <c r="B1126" s="46">
        <v>341.33334000000002</v>
      </c>
      <c r="C1126" s="46">
        <v>332.89334000000002</v>
      </c>
      <c r="D1126" s="46">
        <v>337.33334000000002</v>
      </c>
      <c r="E1126" s="46">
        <v>557350</v>
      </c>
      <c r="F1126" s="46" t="s">
        <v>1156</v>
      </c>
      <c r="G1126" s="25">
        <f t="shared" si="22"/>
        <v>7.0157903751819628E-3</v>
      </c>
    </row>
    <row r="1127" spans="1:7">
      <c r="A1127" s="46">
        <v>330.29333000000003</v>
      </c>
      <c r="B1127" s="46">
        <v>334</v>
      </c>
      <c r="C1127" s="46">
        <v>329.91165000000001</v>
      </c>
      <c r="D1127" s="46">
        <v>333.33334000000002</v>
      </c>
      <c r="E1127" s="46">
        <v>428468</v>
      </c>
      <c r="F1127" s="46" t="s">
        <v>1157</v>
      </c>
      <c r="G1127" s="25">
        <f t="shared" si="22"/>
        <v>-9.1200298175994066E-3</v>
      </c>
    </row>
    <row r="1128" spans="1:7">
      <c r="A1128" s="46">
        <v>333.20334000000003</v>
      </c>
      <c r="B1128" s="46">
        <v>333.66665999999998</v>
      </c>
      <c r="C1128" s="46">
        <v>329.68002000000001</v>
      </c>
      <c r="D1128" s="46">
        <v>331.67667</v>
      </c>
      <c r="E1128" s="46">
        <v>325634</v>
      </c>
      <c r="F1128" s="46" t="s">
        <v>1158</v>
      </c>
      <c r="G1128" s="25">
        <f t="shared" si="22"/>
        <v>4.6028862988767294E-3</v>
      </c>
    </row>
    <row r="1129" spans="1:7">
      <c r="A1129" s="46">
        <v>330.85</v>
      </c>
      <c r="B1129" s="46">
        <v>332.89</v>
      </c>
      <c r="C1129" s="46">
        <v>328.67667</v>
      </c>
      <c r="D1129" s="46">
        <v>331.99666999999999</v>
      </c>
      <c r="E1129" s="46">
        <v>311640</v>
      </c>
      <c r="F1129" s="46" t="s">
        <v>1159</v>
      </c>
      <c r="G1129" s="25">
        <f t="shared" si="22"/>
        <v>-3.4538599438360684E-3</v>
      </c>
    </row>
    <row r="1130" spans="1:7">
      <c r="A1130" s="46">
        <v>330.48665999999997</v>
      </c>
      <c r="B1130" s="46">
        <v>331.69666000000001</v>
      </c>
      <c r="C1130" s="46">
        <v>325.70666999999997</v>
      </c>
      <c r="D1130" s="46">
        <v>326.37</v>
      </c>
      <c r="E1130" s="46">
        <v>412978</v>
      </c>
      <c r="F1130" s="46" t="s">
        <v>1160</v>
      </c>
      <c r="G1130" s="25">
        <f t="shared" si="22"/>
        <v>1.2613475503262972E-2</v>
      </c>
    </row>
    <row r="1131" spans="1:7">
      <c r="A1131" s="46">
        <v>327.16332999999997</v>
      </c>
      <c r="B1131" s="46">
        <v>327.71</v>
      </c>
      <c r="C1131" s="46">
        <v>323.47000000000003</v>
      </c>
      <c r="D1131" s="46">
        <v>324.33334000000002</v>
      </c>
      <c r="E1131" s="46">
        <v>316411</v>
      </c>
      <c r="F1131" s="46" t="s">
        <v>1161</v>
      </c>
      <c r="G1131" s="25">
        <f t="shared" si="22"/>
        <v>8.7255599439759468E-3</v>
      </c>
    </row>
    <row r="1132" spans="1:7">
      <c r="A1132" s="46">
        <v>324.16665999999998</v>
      </c>
      <c r="B1132" s="46">
        <v>326.66665999999998</v>
      </c>
      <c r="C1132" s="46">
        <v>322.98095999999998</v>
      </c>
      <c r="D1132" s="46">
        <v>325.02667000000002</v>
      </c>
      <c r="E1132" s="46">
        <v>323818</v>
      </c>
      <c r="F1132" s="46" t="s">
        <v>1162</v>
      </c>
      <c r="G1132" s="25">
        <f t="shared" si="22"/>
        <v>-2.6459674832223223E-3</v>
      </c>
    </row>
    <row r="1133" spans="1:7">
      <c r="A1133" s="46">
        <v>325.02667000000002</v>
      </c>
      <c r="B1133" s="46">
        <v>325.03332999999998</v>
      </c>
      <c r="C1133" s="46">
        <v>320.07333</v>
      </c>
      <c r="D1133" s="46">
        <v>322.54333000000003</v>
      </c>
      <c r="E1133" s="46">
        <v>357657</v>
      </c>
      <c r="F1133" s="46" t="s">
        <v>1163</v>
      </c>
      <c r="G1133" s="25">
        <f t="shared" si="22"/>
        <v>7.6992446255206293E-3</v>
      </c>
    </row>
    <row r="1134" spans="1:7">
      <c r="A1134" s="46">
        <v>322.03332999999998</v>
      </c>
      <c r="B1134" s="46">
        <v>324.67</v>
      </c>
      <c r="C1134" s="46">
        <v>318.08334000000002</v>
      </c>
      <c r="D1134" s="46">
        <v>323.27667000000002</v>
      </c>
      <c r="E1134" s="46">
        <v>534817</v>
      </c>
      <c r="F1134" s="46" t="s">
        <v>1164</v>
      </c>
      <c r="G1134" s="25">
        <f t="shared" si="22"/>
        <v>-3.8460554546050352E-3</v>
      </c>
    </row>
    <row r="1135" spans="1:7">
      <c r="A1135" s="46">
        <v>325.48665999999997</v>
      </c>
      <c r="B1135" s="46">
        <v>326.13</v>
      </c>
      <c r="C1135" s="46">
        <v>320.83999999999997</v>
      </c>
      <c r="D1135" s="46">
        <v>323.88</v>
      </c>
      <c r="E1135" s="46">
        <v>439279</v>
      </c>
      <c r="F1135" s="46" t="s">
        <v>1165</v>
      </c>
      <c r="G1135" s="25">
        <f t="shared" si="22"/>
        <v>4.9606644436210878E-3</v>
      </c>
    </row>
    <row r="1136" spans="1:7">
      <c r="A1136" s="46">
        <v>324.63</v>
      </c>
      <c r="B1136" s="46">
        <v>325.30667</v>
      </c>
      <c r="C1136" s="46">
        <v>315.44</v>
      </c>
      <c r="D1136" s="46">
        <v>317.07</v>
      </c>
      <c r="E1136" s="46">
        <v>651485</v>
      </c>
      <c r="F1136" s="46" t="s">
        <v>1166</v>
      </c>
      <c r="G1136" s="25">
        <f t="shared" si="22"/>
        <v>2.3843315356230521E-2</v>
      </c>
    </row>
    <row r="1137" spans="1:7">
      <c r="A1137" s="46">
        <v>314.98</v>
      </c>
      <c r="B1137" s="46">
        <v>329.09</v>
      </c>
      <c r="C1137" s="46">
        <v>308.83999999999997</v>
      </c>
      <c r="D1137" s="46">
        <v>328.33334000000002</v>
      </c>
      <c r="E1137" s="46">
        <v>847030</v>
      </c>
      <c r="F1137" s="46" t="s">
        <v>1167</v>
      </c>
      <c r="G1137" s="25">
        <f t="shared" si="22"/>
        <v>-4.0670070240201639E-2</v>
      </c>
    </row>
    <row r="1138" spans="1:7">
      <c r="A1138" s="46">
        <v>318.35000000000002</v>
      </c>
      <c r="B1138" s="46">
        <v>321.99335000000002</v>
      </c>
      <c r="C1138" s="46">
        <v>309.64334000000002</v>
      </c>
      <c r="D1138" s="46">
        <v>311.64999999999998</v>
      </c>
      <c r="E1138" s="46">
        <v>910877</v>
      </c>
      <c r="F1138" s="46" t="s">
        <v>1168</v>
      </c>
      <c r="G1138" s="25">
        <f t="shared" si="22"/>
        <v>2.1498475854323962E-2</v>
      </c>
    </row>
    <row r="1139" spans="1:7">
      <c r="A1139" s="46">
        <v>310.73</v>
      </c>
      <c r="B1139" s="46">
        <v>314.66665999999998</v>
      </c>
      <c r="C1139" s="46">
        <v>308.82666</v>
      </c>
      <c r="D1139" s="46">
        <v>314.66665999999998</v>
      </c>
      <c r="E1139" s="46">
        <v>702095</v>
      </c>
      <c r="F1139" s="46" t="s">
        <v>1169</v>
      </c>
      <c r="G1139" s="25">
        <f t="shared" si="22"/>
        <v>-1.2510572298952694E-2</v>
      </c>
    </row>
    <row r="1140" spans="1:7">
      <c r="A1140" s="46">
        <v>316.70334000000003</v>
      </c>
      <c r="B1140" s="46">
        <v>319.63666000000001</v>
      </c>
      <c r="C1140" s="46">
        <v>316.44666000000001</v>
      </c>
      <c r="D1140" s="46">
        <v>318.54665999999997</v>
      </c>
      <c r="E1140" s="46">
        <v>351753</v>
      </c>
      <c r="F1140" s="46" t="s">
        <v>1170</v>
      </c>
      <c r="G1140" s="25">
        <f t="shared" si="22"/>
        <v>-5.7866561840578257E-3</v>
      </c>
    </row>
    <row r="1141" spans="1:7">
      <c r="A1141" s="46">
        <v>317.88666000000001</v>
      </c>
      <c r="B1141" s="46">
        <v>319.64334000000002</v>
      </c>
      <c r="C1141" s="46">
        <v>315.85165000000001</v>
      </c>
      <c r="D1141" s="46">
        <v>317.69</v>
      </c>
      <c r="E1141" s="46">
        <v>461284</v>
      </c>
      <c r="F1141" s="46" t="s">
        <v>1171</v>
      </c>
      <c r="G1141" s="25">
        <f t="shared" si="22"/>
        <v>6.190311309768326E-4</v>
      </c>
    </row>
    <row r="1142" spans="1:7">
      <c r="A1142" s="46">
        <v>318.36</v>
      </c>
      <c r="B1142" s="46">
        <v>321.65167000000002</v>
      </c>
      <c r="C1142" s="46">
        <v>317.39210000000003</v>
      </c>
      <c r="D1142" s="46">
        <v>321.52</v>
      </c>
      <c r="E1142" s="46">
        <v>319432</v>
      </c>
      <c r="F1142" s="46" t="s">
        <v>1172</v>
      </c>
      <c r="G1142" s="25">
        <f t="shared" si="22"/>
        <v>-9.8283155013684231E-3</v>
      </c>
    </row>
    <row r="1143" spans="1:7">
      <c r="A1143" s="46">
        <v>318.75</v>
      </c>
      <c r="B1143" s="46">
        <v>321.68331999999998</v>
      </c>
      <c r="C1143" s="46">
        <v>318.28390000000002</v>
      </c>
      <c r="D1143" s="46">
        <v>320.77334999999999</v>
      </c>
      <c r="E1143" s="46">
        <v>285504</v>
      </c>
      <c r="F1143" s="46" t="s">
        <v>1173</v>
      </c>
      <c r="G1143" s="25">
        <f t="shared" si="22"/>
        <v>-6.3077247533187553E-3</v>
      </c>
    </row>
    <row r="1144" spans="1:7">
      <c r="A1144" s="46">
        <v>319.68331999999998</v>
      </c>
      <c r="B1144" s="46">
        <v>320.22332999999998</v>
      </c>
      <c r="C1144" s="46">
        <v>315.50664999999998</v>
      </c>
      <c r="D1144" s="46">
        <v>317.44666000000001</v>
      </c>
      <c r="E1144" s="46">
        <v>343708</v>
      </c>
      <c r="F1144" s="46" t="s">
        <v>1174</v>
      </c>
      <c r="G1144" s="25">
        <f t="shared" si="22"/>
        <v>7.0457821165923473E-3</v>
      </c>
    </row>
    <row r="1145" spans="1:7">
      <c r="A1145" s="46">
        <v>316.92667</v>
      </c>
      <c r="B1145" s="46">
        <v>318.39666999999997</v>
      </c>
      <c r="C1145" s="46">
        <v>312.72000000000003</v>
      </c>
      <c r="D1145" s="46">
        <v>317.29000000000002</v>
      </c>
      <c r="E1145" s="46">
        <v>341332</v>
      </c>
      <c r="F1145" s="46" t="s">
        <v>1175</v>
      </c>
      <c r="G1145" s="25">
        <f t="shared" si="22"/>
        <v>-1.1451038482146458E-3</v>
      </c>
    </row>
    <row r="1146" spans="1:7">
      <c r="A1146" s="46">
        <v>317.29000000000002</v>
      </c>
      <c r="B1146" s="46">
        <v>317.93668000000002</v>
      </c>
      <c r="C1146" s="46">
        <v>312.10665999999998</v>
      </c>
      <c r="D1146" s="46">
        <v>313.74666999999999</v>
      </c>
      <c r="E1146" s="46">
        <v>455340</v>
      </c>
      <c r="F1146" s="46" t="s">
        <v>1176</v>
      </c>
      <c r="G1146" s="25">
        <f t="shared" si="22"/>
        <v>1.1293601936874786E-2</v>
      </c>
    </row>
    <row r="1147" spans="1:7">
      <c r="A1147" s="46">
        <v>318.23</v>
      </c>
      <c r="B1147" s="46">
        <v>320.29000000000002</v>
      </c>
      <c r="C1147" s="46">
        <v>316.22833000000003</v>
      </c>
      <c r="D1147" s="46">
        <v>318.00333000000001</v>
      </c>
      <c r="E1147" s="46">
        <v>497619</v>
      </c>
      <c r="F1147" s="46" t="s">
        <v>1177</v>
      </c>
      <c r="G1147" s="25">
        <f t="shared" si="22"/>
        <v>7.1279127800338848E-4</v>
      </c>
    </row>
    <row r="1148" spans="1:7">
      <c r="A1148" s="46">
        <v>316.01334000000003</v>
      </c>
      <c r="B1148" s="46">
        <v>316.43</v>
      </c>
      <c r="C1148" s="46">
        <v>309.15667999999999</v>
      </c>
      <c r="D1148" s="46">
        <v>314.18331999999998</v>
      </c>
      <c r="E1148" s="46">
        <v>575419</v>
      </c>
      <c r="F1148" s="46" t="s">
        <v>1178</v>
      </c>
      <c r="G1148" s="25">
        <f t="shared" si="22"/>
        <v>5.8246885926345193E-3</v>
      </c>
    </row>
    <row r="1149" spans="1:7">
      <c r="A1149" s="46">
        <v>312.72000000000003</v>
      </c>
      <c r="B1149" s="46">
        <v>313.15667999999999</v>
      </c>
      <c r="C1149" s="46">
        <v>309.77</v>
      </c>
      <c r="D1149" s="46">
        <v>310.29333000000003</v>
      </c>
      <c r="E1149" s="46">
        <v>338529</v>
      </c>
      <c r="F1149" s="46" t="s">
        <v>1179</v>
      </c>
      <c r="G1149" s="25">
        <f t="shared" si="22"/>
        <v>7.8205677189386869E-3</v>
      </c>
    </row>
    <row r="1150" spans="1:7">
      <c r="A1150" s="46">
        <v>309.15332000000001</v>
      </c>
      <c r="B1150" s="46">
        <v>309.33334000000002</v>
      </c>
      <c r="C1150" s="46">
        <v>305.49666999999999</v>
      </c>
      <c r="D1150" s="46">
        <v>305.84332000000001</v>
      </c>
      <c r="E1150" s="46">
        <v>364534</v>
      </c>
      <c r="F1150" s="46" t="s">
        <v>1180</v>
      </c>
      <c r="G1150" s="25">
        <f t="shared" si="22"/>
        <v>1.0822534884855406E-2</v>
      </c>
    </row>
    <row r="1151" spans="1:7">
      <c r="A1151" s="46">
        <v>306.54665999999997</v>
      </c>
      <c r="B1151" s="46">
        <v>308.33334000000002</v>
      </c>
      <c r="C1151" s="46">
        <v>304.00664999999998</v>
      </c>
      <c r="D1151" s="46">
        <v>306.68331999999998</v>
      </c>
      <c r="E1151" s="46">
        <v>539797</v>
      </c>
      <c r="F1151" s="46" t="s">
        <v>1181</v>
      </c>
      <c r="G1151" s="25">
        <f t="shared" si="22"/>
        <v>-4.456062364265323E-4</v>
      </c>
    </row>
    <row r="1152" spans="1:7">
      <c r="A1152" s="46">
        <v>306.90667999999999</v>
      </c>
      <c r="B1152" s="46">
        <v>308.68</v>
      </c>
      <c r="C1152" s="46">
        <v>303.66003000000001</v>
      </c>
      <c r="D1152" s="46">
        <v>305</v>
      </c>
      <c r="E1152" s="46">
        <v>413768</v>
      </c>
      <c r="F1152" s="46" t="s">
        <v>1182</v>
      </c>
      <c r="G1152" s="25">
        <f t="shared" si="22"/>
        <v>6.2514098360655357E-3</v>
      </c>
    </row>
    <row r="1153" spans="1:7">
      <c r="A1153" s="46">
        <v>304.13666000000001</v>
      </c>
      <c r="B1153" s="46">
        <v>304.85000000000002</v>
      </c>
      <c r="C1153" s="46">
        <v>301.5</v>
      </c>
      <c r="D1153" s="46">
        <v>303.26</v>
      </c>
      <c r="E1153" s="46">
        <v>415164</v>
      </c>
      <c r="F1153" s="46" t="s">
        <v>1183</v>
      </c>
      <c r="G1153" s="25">
        <f t="shared" si="22"/>
        <v>2.8907867836180934E-3</v>
      </c>
    </row>
    <row r="1154" spans="1:7">
      <c r="A1154" s="46">
        <v>302.78332999999998</v>
      </c>
      <c r="B1154" s="46">
        <v>304.06168000000002</v>
      </c>
      <c r="C1154" s="46">
        <v>301.21667000000002</v>
      </c>
      <c r="D1154" s="46">
        <v>301.66665999999998</v>
      </c>
      <c r="E1154" s="46">
        <v>434468</v>
      </c>
      <c r="F1154" s="46" t="s">
        <v>1184</v>
      </c>
      <c r="G1154" s="25">
        <f t="shared" si="22"/>
        <v>3.7016685900921331E-3</v>
      </c>
    </row>
    <row r="1155" spans="1:7">
      <c r="A1155" s="46">
        <v>301.52334999999999</v>
      </c>
      <c r="B1155" s="46">
        <v>304.57</v>
      </c>
      <c r="C1155" s="46">
        <v>300.12</v>
      </c>
      <c r="D1155" s="46">
        <v>304.43</v>
      </c>
      <c r="E1155" s="46">
        <v>341011</v>
      </c>
      <c r="F1155" s="46" t="s">
        <v>1185</v>
      </c>
      <c r="G1155" s="25">
        <f t="shared" si="22"/>
        <v>-9.5478435108234949E-3</v>
      </c>
    </row>
    <row r="1156" spans="1:7">
      <c r="A1156" s="46">
        <v>301.80667</v>
      </c>
      <c r="B1156" s="46">
        <v>303.78500000000003</v>
      </c>
      <c r="C1156" s="46">
        <v>299.73</v>
      </c>
      <c r="D1156" s="46">
        <v>300</v>
      </c>
      <c r="E1156" s="46">
        <v>430805</v>
      </c>
      <c r="F1156" s="46" t="s">
        <v>1186</v>
      </c>
      <c r="G1156" s="25">
        <f t="shared" si="22"/>
        <v>6.0222333333332934E-3</v>
      </c>
    </row>
    <row r="1157" spans="1:7">
      <c r="A1157" s="46">
        <v>300.65332000000001</v>
      </c>
      <c r="B1157" s="46">
        <v>301</v>
      </c>
      <c r="C1157" s="46">
        <v>295.69168000000002</v>
      </c>
      <c r="D1157" s="46">
        <v>298.42334</v>
      </c>
      <c r="E1157" s="46">
        <v>449895</v>
      </c>
      <c r="F1157" s="46" t="s">
        <v>1187</v>
      </c>
      <c r="G1157" s="25">
        <f t="shared" si="22"/>
        <v>7.4725388436440721E-3</v>
      </c>
    </row>
    <row r="1158" spans="1:7">
      <c r="A1158" s="46">
        <v>298</v>
      </c>
      <c r="B1158" s="46">
        <v>300.31668000000002</v>
      </c>
      <c r="C1158" s="46">
        <v>291.86</v>
      </c>
      <c r="D1158" s="46">
        <v>294.95334000000003</v>
      </c>
      <c r="E1158" s="46">
        <v>474667</v>
      </c>
      <c r="F1158" s="46" t="s">
        <v>1188</v>
      </c>
      <c r="G1158" s="25">
        <f t="shared" si="22"/>
        <v>1.0329294796254773E-2</v>
      </c>
    </row>
    <row r="1159" spans="1:7">
      <c r="A1159" s="46">
        <v>292.95334000000003</v>
      </c>
      <c r="B1159" s="46">
        <v>295.33334000000002</v>
      </c>
      <c r="C1159" s="46">
        <v>291.86667</v>
      </c>
      <c r="D1159" s="46">
        <v>293.51</v>
      </c>
      <c r="E1159" s="46">
        <v>801193</v>
      </c>
      <c r="F1159" s="46" t="s">
        <v>1189</v>
      </c>
      <c r="G1159" s="25">
        <f t="shared" si="22"/>
        <v>-1.8965622977069607E-3</v>
      </c>
    </row>
    <row r="1160" spans="1:7">
      <c r="A1160" s="46">
        <v>295.00333000000001</v>
      </c>
      <c r="B1160" s="46">
        <v>297.08999999999997</v>
      </c>
      <c r="C1160" s="46">
        <v>288.79406999999998</v>
      </c>
      <c r="D1160" s="46">
        <v>289.74666999999999</v>
      </c>
      <c r="E1160" s="46">
        <v>522440</v>
      </c>
      <c r="F1160" s="46" t="s">
        <v>1190</v>
      </c>
      <c r="G1160" s="25">
        <f t="shared" si="22"/>
        <v>1.8142261997351028E-2</v>
      </c>
    </row>
    <row r="1161" spans="1:7">
      <c r="A1161" s="46">
        <v>290.47332999999998</v>
      </c>
      <c r="B1161" s="46">
        <v>293.87331999999998</v>
      </c>
      <c r="C1161" s="46">
        <v>288.33334000000002</v>
      </c>
      <c r="D1161" s="46">
        <v>291.45334000000003</v>
      </c>
      <c r="E1161" s="46">
        <v>448186</v>
      </c>
      <c r="F1161" s="46" t="s">
        <v>1191</v>
      </c>
      <c r="G1161" s="25">
        <f t="shared" si="22"/>
        <v>-3.3624936327717458E-3</v>
      </c>
    </row>
    <row r="1162" spans="1:7">
      <c r="A1162" s="46">
        <v>290.78665000000001</v>
      </c>
      <c r="B1162" s="46">
        <v>291.78167999999999</v>
      </c>
      <c r="C1162" s="46">
        <v>289.88666000000001</v>
      </c>
      <c r="D1162" s="46">
        <v>291.66665999999998</v>
      </c>
      <c r="E1162" s="46">
        <v>437127</v>
      </c>
      <c r="F1162" s="46" t="s">
        <v>1192</v>
      </c>
      <c r="G1162" s="25">
        <f t="shared" si="22"/>
        <v>-3.0171772118210427E-3</v>
      </c>
    </row>
    <row r="1163" spans="1:7">
      <c r="A1163" s="46">
        <v>290.93</v>
      </c>
      <c r="B1163" s="46">
        <v>291.13666000000001</v>
      </c>
      <c r="C1163" s="46">
        <v>286.54665999999997</v>
      </c>
      <c r="D1163" s="46">
        <v>287.43</v>
      </c>
      <c r="E1163" s="46">
        <v>421383</v>
      </c>
      <c r="F1163" s="46" t="s">
        <v>1193</v>
      </c>
      <c r="G1163" s="25">
        <f t="shared" si="22"/>
        <v>1.2176877848519618E-2</v>
      </c>
    </row>
    <row r="1164" spans="1:7">
      <c r="A1164" s="46">
        <v>288.08999999999997</v>
      </c>
      <c r="B1164" s="46">
        <v>288.10000000000002</v>
      </c>
      <c r="C1164" s="46">
        <v>285.12331999999998</v>
      </c>
      <c r="D1164" s="46">
        <v>286.66665999999998</v>
      </c>
      <c r="E1164" s="46">
        <v>445172</v>
      </c>
      <c r="F1164" s="46" t="s">
        <v>1194</v>
      </c>
      <c r="G1164" s="25">
        <f t="shared" si="22"/>
        <v>4.9651396503520573E-3</v>
      </c>
    </row>
    <row r="1165" spans="1:7">
      <c r="A1165" s="46">
        <v>286.38</v>
      </c>
      <c r="B1165" s="46">
        <v>286.54333000000003</v>
      </c>
      <c r="C1165" s="46">
        <v>280.38</v>
      </c>
      <c r="D1165" s="46">
        <v>281.02334999999999</v>
      </c>
      <c r="E1165" s="46">
        <v>396421</v>
      </c>
      <c r="F1165" s="46" t="s">
        <v>1195</v>
      </c>
      <c r="G1165" s="25">
        <f t="shared" si="22"/>
        <v>1.9061227474514109E-2</v>
      </c>
    </row>
    <row r="1166" spans="1:7">
      <c r="A1166" s="46">
        <v>280.08</v>
      </c>
      <c r="B1166" s="46">
        <v>281.32317999999998</v>
      </c>
      <c r="C1166" s="46">
        <v>278.25</v>
      </c>
      <c r="D1166" s="46">
        <v>278.76</v>
      </c>
      <c r="E1166" s="46">
        <v>361696</v>
      </c>
      <c r="F1166" s="46" t="s">
        <v>1196</v>
      </c>
      <c r="G1166" s="25">
        <f t="shared" si="22"/>
        <v>4.7352561343090294E-3</v>
      </c>
    </row>
    <row r="1167" spans="1:7">
      <c r="A1167" s="46">
        <v>277.89</v>
      </c>
      <c r="B1167" s="46">
        <v>280.38</v>
      </c>
      <c r="C1167" s="46">
        <v>275.39666999999997</v>
      </c>
      <c r="D1167" s="46">
        <v>278.45</v>
      </c>
      <c r="E1167" s="46">
        <v>414275</v>
      </c>
      <c r="F1167" s="46" t="s">
        <v>1197</v>
      </c>
      <c r="G1167" s="25">
        <f t="shared" si="22"/>
        <v>-2.0111330579996034E-3</v>
      </c>
    </row>
    <row r="1168" spans="1:7">
      <c r="A1168" s="46">
        <v>277.04000000000002</v>
      </c>
      <c r="B1168" s="46">
        <v>281.06331999999998</v>
      </c>
      <c r="C1168" s="46">
        <v>276.27</v>
      </c>
      <c r="D1168" s="46">
        <v>278.38666000000001</v>
      </c>
      <c r="E1168" s="46">
        <v>362957</v>
      </c>
      <c r="F1168" s="46" t="s">
        <v>1198</v>
      </c>
      <c r="G1168" s="25">
        <f t="shared" si="22"/>
        <v>-4.8373725953678726E-3</v>
      </c>
    </row>
    <row r="1169" spans="1:7">
      <c r="A1169" s="46">
        <v>277.14999999999998</v>
      </c>
      <c r="B1169" s="46">
        <v>278.59667999999999</v>
      </c>
      <c r="C1169" s="46">
        <v>273.70999999999998</v>
      </c>
      <c r="D1169" s="46">
        <v>273.85333000000003</v>
      </c>
      <c r="E1169" s="46">
        <v>458166</v>
      </c>
      <c r="F1169" s="46" t="s">
        <v>1199</v>
      </c>
      <c r="G1169" s="25">
        <f t="shared" si="22"/>
        <v>1.2038086226667133E-2</v>
      </c>
    </row>
    <row r="1170" spans="1:7">
      <c r="A1170" s="46">
        <v>272.21667000000002</v>
      </c>
      <c r="B1170" s="46">
        <v>274.94666000000001</v>
      </c>
      <c r="C1170" s="46">
        <v>270.37</v>
      </c>
      <c r="D1170" s="46">
        <v>270.96334999999999</v>
      </c>
      <c r="E1170" s="46">
        <v>420487</v>
      </c>
      <c r="F1170" s="46" t="s">
        <v>1200</v>
      </c>
      <c r="G1170" s="25">
        <f t="shared" si="22"/>
        <v>4.6254225894388767E-3</v>
      </c>
    </row>
    <row r="1171" spans="1:7">
      <c r="A1171" s="46">
        <v>273.84667999999999</v>
      </c>
      <c r="B1171" s="46">
        <v>279.3</v>
      </c>
      <c r="C1171" s="46">
        <v>272.97665000000001</v>
      </c>
      <c r="D1171" s="46">
        <v>278.74</v>
      </c>
      <c r="E1171" s="46">
        <v>398650</v>
      </c>
      <c r="F1171" s="46" t="s">
        <v>1201</v>
      </c>
      <c r="G1171" s="25">
        <f t="shared" si="22"/>
        <v>-1.7555140991605156E-2</v>
      </c>
    </row>
    <row r="1172" spans="1:7">
      <c r="A1172" s="46">
        <v>278.68</v>
      </c>
      <c r="B1172" s="46">
        <v>284.25664999999998</v>
      </c>
      <c r="C1172" s="46">
        <v>276.25</v>
      </c>
      <c r="D1172" s="46">
        <v>284.25664999999998</v>
      </c>
      <c r="E1172" s="46">
        <v>497894</v>
      </c>
      <c r="F1172" s="46" t="s">
        <v>1202</v>
      </c>
      <c r="G1172" s="25">
        <f t="shared" si="22"/>
        <v>-1.9618362490376073E-2</v>
      </c>
    </row>
    <row r="1173" spans="1:7">
      <c r="A1173" s="46">
        <v>280.72665000000001</v>
      </c>
      <c r="B1173" s="46">
        <v>284.77334999999999</v>
      </c>
      <c r="C1173" s="46">
        <v>279.66332999999997</v>
      </c>
      <c r="D1173" s="46">
        <v>279.66332999999997</v>
      </c>
      <c r="E1173" s="46">
        <v>525294</v>
      </c>
      <c r="F1173" s="46" t="s">
        <v>1203</v>
      </c>
      <c r="G1173" s="25">
        <f t="shared" si="22"/>
        <v>3.8021430982746462E-3</v>
      </c>
    </row>
    <row r="1174" spans="1:7">
      <c r="A1174" s="46">
        <v>278.12</v>
      </c>
      <c r="B1174" s="46">
        <v>282.18</v>
      </c>
      <c r="C1174" s="46">
        <v>276.39834999999999</v>
      </c>
      <c r="D1174" s="46">
        <v>279.56668000000002</v>
      </c>
      <c r="E1174" s="46">
        <v>1306795</v>
      </c>
      <c r="F1174" s="46" t="s">
        <v>1204</v>
      </c>
      <c r="G1174" s="25">
        <f t="shared" si="22"/>
        <v>-5.1747225384656259E-3</v>
      </c>
    </row>
    <row r="1175" spans="1:7">
      <c r="A1175" s="46">
        <v>279.79333000000003</v>
      </c>
      <c r="B1175" s="46">
        <v>283.23</v>
      </c>
      <c r="C1175" s="46">
        <v>278.39834999999999</v>
      </c>
      <c r="D1175" s="46">
        <v>282.37</v>
      </c>
      <c r="E1175" s="46">
        <v>495144</v>
      </c>
      <c r="F1175" s="46" t="s">
        <v>1205</v>
      </c>
      <c r="G1175" s="25">
        <f t="shared" si="22"/>
        <v>-9.1251549385557018E-3</v>
      </c>
    </row>
    <row r="1176" spans="1:7">
      <c r="A1176" s="46">
        <v>282.00333000000001</v>
      </c>
      <c r="B1176" s="46">
        <v>282.25333000000001</v>
      </c>
      <c r="C1176" s="46">
        <v>279.45999999999998</v>
      </c>
      <c r="D1176" s="46">
        <v>280.09667999999999</v>
      </c>
      <c r="E1176" s="46">
        <v>676351</v>
      </c>
      <c r="F1176" s="46" t="s">
        <v>1206</v>
      </c>
      <c r="G1176" s="25">
        <f t="shared" si="22"/>
        <v>6.8071138865337666E-3</v>
      </c>
    </row>
    <row r="1177" spans="1:7">
      <c r="A1177" s="46">
        <v>278.30667</v>
      </c>
      <c r="B1177" s="46">
        <v>280.12</v>
      </c>
      <c r="C1177" s="46">
        <v>277.42</v>
      </c>
      <c r="D1177" s="46">
        <v>277.68331999999998</v>
      </c>
      <c r="E1177" s="46">
        <v>725332</v>
      </c>
      <c r="F1177" s="46" t="s">
        <v>1207</v>
      </c>
      <c r="G1177" s="25">
        <f t="shared" si="22"/>
        <v>2.2448233476897173E-3</v>
      </c>
    </row>
    <row r="1178" spans="1:7">
      <c r="A1178" s="46">
        <v>274.99666999999999</v>
      </c>
      <c r="B1178" s="46">
        <v>281.00333000000001</v>
      </c>
      <c r="C1178" s="46">
        <v>274.69333</v>
      </c>
      <c r="D1178" s="46">
        <v>280</v>
      </c>
      <c r="E1178" s="46">
        <v>507030</v>
      </c>
      <c r="F1178" s="46" t="s">
        <v>1208</v>
      </c>
      <c r="G1178" s="25">
        <f t="shared" si="22"/>
        <v>-1.7869035714285775E-2</v>
      </c>
    </row>
    <row r="1179" spans="1:7">
      <c r="A1179" s="46">
        <v>277.55333999999999</v>
      </c>
      <c r="B1179" s="46">
        <v>278.97000000000003</v>
      </c>
      <c r="C1179" s="46">
        <v>273.24666999999999</v>
      </c>
      <c r="D1179" s="46">
        <v>273.89334000000002</v>
      </c>
      <c r="E1179" s="46">
        <v>1078673</v>
      </c>
      <c r="F1179" s="46" t="s">
        <v>1209</v>
      </c>
      <c r="G1179" s="25">
        <f t="shared" si="22"/>
        <v>1.3362865997398776E-2</v>
      </c>
    </row>
    <row r="1180" spans="1:7">
      <c r="A1180" s="46">
        <v>272.32</v>
      </c>
      <c r="B1180" s="46">
        <v>272.34332000000001</v>
      </c>
      <c r="C1180" s="46">
        <v>265.90332000000001</v>
      </c>
      <c r="D1180" s="46">
        <v>267.24666999999999</v>
      </c>
      <c r="E1180" s="46">
        <v>491266</v>
      </c>
      <c r="F1180" s="46" t="s">
        <v>1210</v>
      </c>
      <c r="G1180" s="25">
        <f t="shared" si="22"/>
        <v>1.8983697720162507E-2</v>
      </c>
    </row>
    <row r="1181" spans="1:7">
      <c r="A1181" s="46">
        <v>271.54000000000002</v>
      </c>
      <c r="B1181" s="46">
        <v>274.66665999999998</v>
      </c>
      <c r="C1181" s="46">
        <v>271.19</v>
      </c>
      <c r="D1181" s="46">
        <v>273.88666000000001</v>
      </c>
      <c r="E1181" s="46">
        <v>529383</v>
      </c>
      <c r="F1181" s="46" t="s">
        <v>1211</v>
      </c>
      <c r="G1181" s="25">
        <f t="shared" si="22"/>
        <v>-8.5679967034538729E-3</v>
      </c>
    </row>
    <row r="1182" spans="1:7">
      <c r="A1182" s="46">
        <v>272.33667000000003</v>
      </c>
      <c r="B1182" s="46">
        <v>276.26</v>
      </c>
      <c r="C1182" s="46">
        <v>270.53332999999998</v>
      </c>
      <c r="D1182" s="46">
        <v>276.26</v>
      </c>
      <c r="E1182" s="46">
        <v>682081</v>
      </c>
      <c r="F1182" s="46" t="s">
        <v>1212</v>
      </c>
      <c r="G1182" s="25">
        <f t="shared" si="22"/>
        <v>-1.4201585462969568E-2</v>
      </c>
    </row>
    <row r="1183" spans="1:7">
      <c r="A1183" s="46">
        <v>277.79333000000003</v>
      </c>
      <c r="B1183" s="46">
        <v>279.81168000000002</v>
      </c>
      <c r="C1183" s="46">
        <v>273.83667000000003</v>
      </c>
      <c r="D1183" s="46">
        <v>274.32272</v>
      </c>
      <c r="E1183" s="46">
        <v>362269</v>
      </c>
      <c r="F1183" s="46" t="s">
        <v>1213</v>
      </c>
      <c r="G1183" s="25">
        <f t="shared" si="22"/>
        <v>1.2651558718869582E-2</v>
      </c>
    </row>
    <row r="1184" spans="1:7">
      <c r="A1184" s="46">
        <v>273.52999999999997</v>
      </c>
      <c r="B1184" s="46">
        <v>275.69</v>
      </c>
      <c r="C1184" s="46">
        <v>271.07</v>
      </c>
      <c r="D1184" s="46">
        <v>271.07</v>
      </c>
      <c r="E1184" s="46">
        <v>395502</v>
      </c>
      <c r="F1184" s="46" t="s">
        <v>1214</v>
      </c>
      <c r="G1184" s="25">
        <f t="shared" si="22"/>
        <v>9.0751466410889936E-3</v>
      </c>
    </row>
    <row r="1185" spans="1:7">
      <c r="A1185" s="46">
        <v>270.59667999999999</v>
      </c>
      <c r="B1185" s="46">
        <v>275.16000000000003</v>
      </c>
      <c r="C1185" s="46">
        <v>268.08999999999997</v>
      </c>
      <c r="D1185" s="46">
        <v>274.68331999999998</v>
      </c>
      <c r="E1185" s="46">
        <v>569458</v>
      </c>
      <c r="F1185" s="46" t="s">
        <v>1215</v>
      </c>
      <c r="G1185" s="25">
        <f t="shared" ref="G1185:G1248" si="23">A1185/D1185-1</f>
        <v>-1.487764164201888E-2</v>
      </c>
    </row>
    <row r="1186" spans="1:7">
      <c r="A1186" s="46">
        <v>278.91665999999998</v>
      </c>
      <c r="B1186" s="46">
        <v>280.27166999999997</v>
      </c>
      <c r="C1186" s="46">
        <v>273.66332999999997</v>
      </c>
      <c r="D1186" s="46">
        <v>274.38666000000001</v>
      </c>
      <c r="E1186" s="46">
        <v>484667</v>
      </c>
      <c r="F1186" s="46" t="s">
        <v>1216</v>
      </c>
      <c r="G1186" s="25">
        <f t="shared" si="23"/>
        <v>1.6509548970055521E-2</v>
      </c>
    </row>
    <row r="1187" spans="1:7">
      <c r="A1187" s="46">
        <v>278.26334000000003</v>
      </c>
      <c r="B1187" s="46">
        <v>287.33334000000002</v>
      </c>
      <c r="C1187" s="46">
        <v>277.68668000000002</v>
      </c>
      <c r="D1187" s="46">
        <v>286.34332000000001</v>
      </c>
      <c r="E1187" s="46">
        <v>502795</v>
      </c>
      <c r="F1187" s="46" t="s">
        <v>1217</v>
      </c>
      <c r="G1187" s="25">
        <f t="shared" si="23"/>
        <v>-2.8217805115900663E-2</v>
      </c>
    </row>
    <row r="1188" spans="1:7">
      <c r="A1188" s="46">
        <v>285.69666000000001</v>
      </c>
      <c r="B1188" s="46">
        <v>287.75833</v>
      </c>
      <c r="C1188" s="46">
        <v>281.76666</v>
      </c>
      <c r="D1188" s="46">
        <v>281.76666</v>
      </c>
      <c r="E1188" s="46">
        <v>490596</v>
      </c>
      <c r="F1188" s="46" t="s">
        <v>1218</v>
      </c>
      <c r="G1188" s="25">
        <f t="shared" si="23"/>
        <v>1.3947711201885982E-2</v>
      </c>
    </row>
    <row r="1189" spans="1:7">
      <c r="A1189" s="46">
        <v>280.82</v>
      </c>
      <c r="B1189" s="46">
        <v>280.89666999999997</v>
      </c>
      <c r="C1189" s="46">
        <v>275.22000000000003</v>
      </c>
      <c r="D1189" s="46">
        <v>278.08667000000003</v>
      </c>
      <c r="E1189" s="46">
        <v>421267</v>
      </c>
      <c r="F1189" s="46" t="s">
        <v>1219</v>
      </c>
      <c r="G1189" s="25">
        <f t="shared" si="23"/>
        <v>9.8290579695889946E-3</v>
      </c>
    </row>
    <row r="1190" spans="1:7">
      <c r="A1190" s="46">
        <v>279.46667000000002</v>
      </c>
      <c r="B1190" s="46">
        <v>286.99335000000002</v>
      </c>
      <c r="C1190" s="46">
        <v>278.84332000000001</v>
      </c>
      <c r="D1190" s="46">
        <v>284.70999999999998</v>
      </c>
      <c r="E1190" s="46">
        <v>489466</v>
      </c>
      <c r="F1190" s="46" t="s">
        <v>1220</v>
      </c>
      <c r="G1190" s="25">
        <f t="shared" si="23"/>
        <v>-1.8416388605949741E-2</v>
      </c>
    </row>
    <row r="1191" spans="1:7">
      <c r="A1191" s="46">
        <v>282.99666999999999</v>
      </c>
      <c r="B1191" s="46">
        <v>287.36</v>
      </c>
      <c r="C1191" s="46">
        <v>278.03500000000003</v>
      </c>
      <c r="D1191" s="46">
        <v>287.24</v>
      </c>
      <c r="E1191" s="46">
        <v>656972</v>
      </c>
      <c r="F1191" s="46" t="s">
        <v>1221</v>
      </c>
      <c r="G1191" s="25">
        <f t="shared" si="23"/>
        <v>-1.4772768416655091E-2</v>
      </c>
    </row>
    <row r="1192" spans="1:7">
      <c r="A1192" s="46">
        <v>289.18331999999998</v>
      </c>
      <c r="B1192" s="46">
        <v>291.66332999999997</v>
      </c>
      <c r="C1192" s="46">
        <v>286.71334999999999</v>
      </c>
      <c r="D1192" s="46">
        <v>291.15667999999999</v>
      </c>
      <c r="E1192" s="46">
        <v>377836</v>
      </c>
      <c r="F1192" s="46" t="s">
        <v>1222</v>
      </c>
      <c r="G1192" s="25">
        <f t="shared" si="23"/>
        <v>-6.7776566211704692E-3</v>
      </c>
    </row>
    <row r="1193" spans="1:7">
      <c r="A1193" s="46">
        <v>288.33334000000002</v>
      </c>
      <c r="B1193" s="46">
        <v>288.63666000000001</v>
      </c>
      <c r="C1193" s="46">
        <v>285.08999999999997</v>
      </c>
      <c r="D1193" s="46">
        <v>285.65667999999999</v>
      </c>
      <c r="E1193" s="46">
        <v>477669</v>
      </c>
      <c r="F1193" s="46" t="s">
        <v>1223</v>
      </c>
      <c r="G1193" s="25">
        <f t="shared" si="23"/>
        <v>9.3701992195667216E-3</v>
      </c>
    </row>
    <row r="1194" spans="1:7">
      <c r="A1194" s="46">
        <v>287.74</v>
      </c>
      <c r="B1194" s="46">
        <v>291.23334</v>
      </c>
      <c r="C1194" s="46">
        <v>285.94</v>
      </c>
      <c r="D1194" s="46">
        <v>291.23334</v>
      </c>
      <c r="E1194" s="46">
        <v>384835</v>
      </c>
      <c r="F1194" s="46" t="s">
        <v>1224</v>
      </c>
      <c r="G1194" s="25">
        <f t="shared" si="23"/>
        <v>-1.1994986563008125E-2</v>
      </c>
    </row>
    <row r="1195" spans="1:7">
      <c r="A1195" s="46">
        <v>289.59667999999999</v>
      </c>
      <c r="B1195" s="46">
        <v>291.94333</v>
      </c>
      <c r="C1195" s="46">
        <v>286.99335000000002</v>
      </c>
      <c r="D1195" s="46">
        <v>287.52334999999999</v>
      </c>
      <c r="E1195" s="46">
        <v>570701</v>
      </c>
      <c r="F1195" s="46" t="s">
        <v>1225</v>
      </c>
      <c r="G1195" s="25">
        <f t="shared" si="23"/>
        <v>7.2109969503346694E-3</v>
      </c>
    </row>
    <row r="1196" spans="1:7">
      <c r="A1196" s="46">
        <v>287.12668000000002</v>
      </c>
      <c r="B1196" s="46">
        <v>289</v>
      </c>
      <c r="C1196" s="46">
        <v>286.16665999999998</v>
      </c>
      <c r="D1196" s="46">
        <v>289</v>
      </c>
      <c r="E1196" s="46">
        <v>510362</v>
      </c>
      <c r="F1196" s="46" t="s">
        <v>1226</v>
      </c>
      <c r="G1196" s="25">
        <f t="shared" si="23"/>
        <v>-6.4820761245674152E-3</v>
      </c>
    </row>
    <row r="1197" spans="1:7">
      <c r="A1197" s="46">
        <v>288.64666999999997</v>
      </c>
      <c r="B1197" s="46">
        <v>290.69</v>
      </c>
      <c r="C1197" s="46">
        <v>286.72467</v>
      </c>
      <c r="D1197" s="46">
        <v>288.81331999999998</v>
      </c>
      <c r="E1197" s="46">
        <v>584516</v>
      </c>
      <c r="F1197" s="46" t="s">
        <v>1227</v>
      </c>
      <c r="G1197" s="25">
        <f t="shared" si="23"/>
        <v>-5.7701632320839025E-4</v>
      </c>
    </row>
    <row r="1198" spans="1:7">
      <c r="A1198" s="46">
        <v>291.84332000000001</v>
      </c>
      <c r="B1198" s="46">
        <v>294.30500000000001</v>
      </c>
      <c r="C1198" s="46">
        <v>280.90667999999999</v>
      </c>
      <c r="D1198" s="46">
        <v>283.73</v>
      </c>
      <c r="E1198" s="46">
        <v>833546</v>
      </c>
      <c r="F1198" s="46" t="s">
        <v>1228</v>
      </c>
      <c r="G1198" s="25">
        <f t="shared" si="23"/>
        <v>2.8595213759560201E-2</v>
      </c>
    </row>
    <row r="1199" spans="1:7">
      <c r="A1199" s="46">
        <v>286.55333999999999</v>
      </c>
      <c r="B1199" s="46">
        <v>295.96167000000003</v>
      </c>
      <c r="C1199" s="46">
        <v>286.18668000000002</v>
      </c>
      <c r="D1199" s="46">
        <v>294.96334999999999</v>
      </c>
      <c r="E1199" s="46">
        <v>1214466</v>
      </c>
      <c r="F1199" s="46" t="s">
        <v>1229</v>
      </c>
      <c r="G1199" s="25">
        <f t="shared" si="23"/>
        <v>-2.8512050734438743E-2</v>
      </c>
    </row>
    <row r="1200" spans="1:7">
      <c r="A1200" s="46">
        <v>297.12668000000002</v>
      </c>
      <c r="B1200" s="46">
        <v>297.93</v>
      </c>
      <c r="C1200" s="46">
        <v>273.33334000000002</v>
      </c>
      <c r="D1200" s="46">
        <v>280.30667</v>
      </c>
      <c r="E1200" s="46">
        <v>2097929</v>
      </c>
      <c r="F1200" s="46" t="s">
        <v>1230</v>
      </c>
      <c r="G1200" s="25">
        <f t="shared" si="23"/>
        <v>6.0005742995698386E-2</v>
      </c>
    </row>
    <row r="1201" spans="1:7">
      <c r="A1201" s="46">
        <v>270.37</v>
      </c>
      <c r="B1201" s="46">
        <v>274.84332000000001</v>
      </c>
      <c r="C1201" s="46">
        <v>268.88333</v>
      </c>
      <c r="D1201" s="46">
        <v>268.88666000000001</v>
      </c>
      <c r="E1201" s="46">
        <v>693167</v>
      </c>
      <c r="F1201" s="46" t="s">
        <v>1231</v>
      </c>
      <c r="G1201" s="25">
        <f t="shared" si="23"/>
        <v>5.5165994475143698E-3</v>
      </c>
    </row>
    <row r="1202" spans="1:7">
      <c r="A1202" s="46">
        <v>270.39666999999997</v>
      </c>
      <c r="B1202" s="46">
        <v>271.89334000000002</v>
      </c>
      <c r="C1202" s="46">
        <v>267.50664999999998</v>
      </c>
      <c r="D1202" s="46">
        <v>269.58999999999997</v>
      </c>
      <c r="E1202" s="46">
        <v>519325</v>
      </c>
      <c r="F1202" s="46" t="s">
        <v>1232</v>
      </c>
      <c r="G1202" s="25">
        <f t="shared" si="23"/>
        <v>2.9922103935606792E-3</v>
      </c>
    </row>
    <row r="1203" spans="1:7">
      <c r="A1203" s="46">
        <v>270.85665999999998</v>
      </c>
      <c r="B1203" s="46">
        <v>271.13333</v>
      </c>
      <c r="C1203" s="46">
        <v>267.28332999999998</v>
      </c>
      <c r="D1203" s="46">
        <v>269.21667000000002</v>
      </c>
      <c r="E1203" s="46">
        <v>539484</v>
      </c>
      <c r="F1203" s="46" t="s">
        <v>1233</v>
      </c>
      <c r="G1203" s="25">
        <f t="shared" si="23"/>
        <v>6.0917104427447022E-3</v>
      </c>
    </row>
    <row r="1204" spans="1:7">
      <c r="A1204" s="46">
        <v>268.24</v>
      </c>
      <c r="B1204" s="46">
        <v>269.33334000000002</v>
      </c>
      <c r="C1204" s="46">
        <v>263.10000000000002</v>
      </c>
      <c r="D1204" s="46">
        <v>264.22000000000003</v>
      </c>
      <c r="E1204" s="46">
        <v>412328</v>
      </c>
      <c r="F1204" s="46" t="s">
        <v>1234</v>
      </c>
      <c r="G1204" s="25">
        <f t="shared" si="23"/>
        <v>1.5214593899023576E-2</v>
      </c>
    </row>
    <row r="1205" spans="1:7">
      <c r="A1205" s="46">
        <v>261.94333</v>
      </c>
      <c r="B1205" s="46">
        <v>266.74831999999998</v>
      </c>
      <c r="C1205" s="46">
        <v>261.60000000000002</v>
      </c>
      <c r="D1205" s="46">
        <v>264</v>
      </c>
      <c r="E1205" s="46">
        <v>371013</v>
      </c>
      <c r="F1205" s="46" t="s">
        <v>1235</v>
      </c>
      <c r="G1205" s="25">
        <f t="shared" si="23"/>
        <v>-7.7904166666666885E-3</v>
      </c>
    </row>
    <row r="1206" spans="1:7">
      <c r="A1206" s="46">
        <v>264.82333</v>
      </c>
      <c r="B1206" s="46">
        <v>265.60834</v>
      </c>
      <c r="C1206" s="46">
        <v>259.64999999999998</v>
      </c>
      <c r="D1206" s="46">
        <v>259.64999999999998</v>
      </c>
      <c r="E1206" s="46">
        <v>428782</v>
      </c>
      <c r="F1206" s="46" t="s">
        <v>1236</v>
      </c>
      <c r="G1206" s="25">
        <f t="shared" si="23"/>
        <v>1.9924244174850836E-2</v>
      </c>
    </row>
    <row r="1207" spans="1:7">
      <c r="A1207" s="46">
        <v>259.75333000000001</v>
      </c>
      <c r="B1207" s="46">
        <v>261.88666000000001</v>
      </c>
      <c r="C1207" s="46">
        <v>259.10500000000002</v>
      </c>
      <c r="D1207" s="46">
        <v>259.37668000000002</v>
      </c>
      <c r="E1207" s="46">
        <v>336195</v>
      </c>
      <c r="F1207" s="46" t="s">
        <v>1237</v>
      </c>
      <c r="G1207" s="25">
        <f t="shared" si="23"/>
        <v>1.4521351726761722E-3</v>
      </c>
    </row>
    <row r="1208" spans="1:7">
      <c r="A1208" s="46">
        <v>261.49335000000002</v>
      </c>
      <c r="B1208" s="46">
        <v>262.10665999999998</v>
      </c>
      <c r="C1208" s="46">
        <v>256.16003000000001</v>
      </c>
      <c r="D1208" s="46">
        <v>257.86</v>
      </c>
      <c r="E1208" s="46">
        <v>355327</v>
      </c>
      <c r="F1208" s="46" t="s">
        <v>1238</v>
      </c>
      <c r="G1208" s="25">
        <f t="shared" si="23"/>
        <v>1.4090397890328177E-2</v>
      </c>
    </row>
    <row r="1209" spans="1:7">
      <c r="A1209" s="46">
        <v>256.78332999999998</v>
      </c>
      <c r="B1209" s="46">
        <v>258.03332999999998</v>
      </c>
      <c r="C1209" s="46">
        <v>255.31666999999999</v>
      </c>
      <c r="D1209" s="46">
        <v>255.31666999999999</v>
      </c>
      <c r="E1209" s="46">
        <v>302023</v>
      </c>
      <c r="F1209" s="46" t="s">
        <v>1239</v>
      </c>
      <c r="G1209" s="25">
        <f t="shared" si="23"/>
        <v>5.7444741073897632E-3</v>
      </c>
    </row>
    <row r="1210" spans="1:7">
      <c r="A1210" s="46">
        <v>253.67334</v>
      </c>
      <c r="B1210" s="46">
        <v>257.005</v>
      </c>
      <c r="C1210" s="46">
        <v>253.19</v>
      </c>
      <c r="D1210" s="46">
        <v>255.79666</v>
      </c>
      <c r="E1210" s="46">
        <v>367031</v>
      </c>
      <c r="F1210" s="46" t="s">
        <v>1240</v>
      </c>
      <c r="G1210" s="25">
        <f t="shared" si="23"/>
        <v>-8.3008120590785106E-3</v>
      </c>
    </row>
    <row r="1211" spans="1:7">
      <c r="A1211" s="46">
        <v>255.61667</v>
      </c>
      <c r="B1211" s="46">
        <v>258.755</v>
      </c>
      <c r="C1211" s="46">
        <v>253.6</v>
      </c>
      <c r="D1211" s="46">
        <v>255.71</v>
      </c>
      <c r="E1211" s="46">
        <v>385267</v>
      </c>
      <c r="F1211" s="46" t="s">
        <v>1241</v>
      </c>
      <c r="G1211" s="25">
        <f t="shared" si="23"/>
        <v>-3.6498377067772925E-4</v>
      </c>
    </row>
    <row r="1212" spans="1:7">
      <c r="A1212" s="46">
        <v>255.31</v>
      </c>
      <c r="B1212" s="46">
        <v>256.87668000000002</v>
      </c>
      <c r="C1212" s="46">
        <v>250.07</v>
      </c>
      <c r="D1212" s="46">
        <v>250.07</v>
      </c>
      <c r="E1212" s="46">
        <v>565914</v>
      </c>
      <c r="F1212" s="46" t="s">
        <v>1242</v>
      </c>
      <c r="G1212" s="25">
        <f t="shared" si="23"/>
        <v>2.0954132842804007E-2</v>
      </c>
    </row>
    <row r="1213" spans="1:7">
      <c r="A1213" s="46">
        <v>249.2</v>
      </c>
      <c r="B1213" s="46">
        <v>252.69</v>
      </c>
      <c r="C1213" s="46">
        <v>248.62665999999999</v>
      </c>
      <c r="D1213" s="46">
        <v>249.99666999999999</v>
      </c>
      <c r="E1213" s="46">
        <v>452569</v>
      </c>
      <c r="F1213" s="46" t="s">
        <v>1243</v>
      </c>
      <c r="G1213" s="25">
        <f t="shared" si="23"/>
        <v>-3.18672244714302E-3</v>
      </c>
    </row>
    <row r="1214" spans="1:7">
      <c r="A1214" s="46">
        <v>246.31334000000001</v>
      </c>
      <c r="B1214" s="46">
        <v>247.97667000000001</v>
      </c>
      <c r="C1214" s="46">
        <v>242.42</v>
      </c>
      <c r="D1214" s="46">
        <v>242.85333</v>
      </c>
      <c r="E1214" s="46">
        <v>565101</v>
      </c>
      <c r="F1214" s="46" t="s">
        <v>1244</v>
      </c>
      <c r="G1214" s="25">
        <f t="shared" si="23"/>
        <v>1.4247323682981872E-2</v>
      </c>
    </row>
    <row r="1215" spans="1:7">
      <c r="A1215" s="46">
        <v>242.16333</v>
      </c>
      <c r="B1215" s="46">
        <v>242.99666999999999</v>
      </c>
      <c r="C1215" s="46">
        <v>238.17334</v>
      </c>
      <c r="D1215" s="46">
        <v>239.70334</v>
      </c>
      <c r="E1215" s="46">
        <v>480832</v>
      </c>
      <c r="F1215" s="46" t="s">
        <v>1245</v>
      </c>
      <c r="G1215" s="25">
        <f t="shared" si="23"/>
        <v>1.0262643816310701E-2</v>
      </c>
    </row>
    <row r="1216" spans="1:7">
      <c r="A1216" s="46">
        <v>241.31666999999999</v>
      </c>
      <c r="B1216" s="46">
        <v>244.71333000000001</v>
      </c>
      <c r="C1216" s="46">
        <v>239.10834</v>
      </c>
      <c r="D1216" s="46">
        <v>243.15</v>
      </c>
      <c r="E1216" s="46">
        <v>450350</v>
      </c>
      <c r="F1216" s="46" t="s">
        <v>1246</v>
      </c>
      <c r="G1216" s="25">
        <f t="shared" si="23"/>
        <v>-7.5399136335596584E-3</v>
      </c>
    </row>
    <row r="1217" spans="1:7">
      <c r="A1217" s="46">
        <v>243.58332999999999</v>
      </c>
      <c r="B1217" s="46">
        <v>243.94667000000001</v>
      </c>
      <c r="C1217" s="46">
        <v>234.91667000000001</v>
      </c>
      <c r="D1217" s="46">
        <v>235.69333</v>
      </c>
      <c r="E1217" s="46">
        <v>569255</v>
      </c>
      <c r="F1217" s="46" t="s">
        <v>1247</v>
      </c>
      <c r="G1217" s="25">
        <f t="shared" si="23"/>
        <v>3.3475703364197917E-2</v>
      </c>
    </row>
    <row r="1218" spans="1:7">
      <c r="A1218" s="46">
        <v>234.83332999999999</v>
      </c>
      <c r="B1218" s="46">
        <v>238.14</v>
      </c>
      <c r="C1218" s="46">
        <v>231.20667</v>
      </c>
      <c r="D1218" s="46">
        <v>236.88310000000001</v>
      </c>
      <c r="E1218" s="46">
        <v>460034</v>
      </c>
      <c r="F1218" s="46" t="s">
        <v>1248</v>
      </c>
      <c r="G1218" s="25">
        <f t="shared" si="23"/>
        <v>-8.653086691283729E-3</v>
      </c>
    </row>
    <row r="1219" spans="1:7">
      <c r="A1219" s="46">
        <v>237.02332999999999</v>
      </c>
      <c r="B1219" s="46">
        <v>240.11332999999999</v>
      </c>
      <c r="C1219" s="46">
        <v>235.16333</v>
      </c>
      <c r="D1219" s="46">
        <v>237.33332999999999</v>
      </c>
      <c r="E1219" s="46">
        <v>484116</v>
      </c>
      <c r="F1219" s="46" t="s">
        <v>1249</v>
      </c>
      <c r="G1219" s="25">
        <f t="shared" si="23"/>
        <v>-1.3061797936261277E-3</v>
      </c>
    </row>
    <row r="1220" spans="1:7">
      <c r="A1220" s="46">
        <v>236.94</v>
      </c>
      <c r="B1220" s="46">
        <v>240.32666</v>
      </c>
      <c r="C1220" s="46">
        <v>235.88333</v>
      </c>
      <c r="D1220" s="46">
        <v>238.83667</v>
      </c>
      <c r="E1220" s="46">
        <v>335004</v>
      </c>
      <c r="F1220" s="46" t="s">
        <v>1250</v>
      </c>
      <c r="G1220" s="25">
        <f t="shared" si="23"/>
        <v>-7.9412847281784549E-3</v>
      </c>
    </row>
    <row r="1221" spans="1:7">
      <c r="A1221" s="46">
        <v>238.24332999999999</v>
      </c>
      <c r="B1221" s="46">
        <v>240.38499999999999</v>
      </c>
      <c r="C1221" s="46">
        <v>234.38</v>
      </c>
      <c r="D1221" s="46">
        <v>235.90665999999999</v>
      </c>
      <c r="E1221" s="46">
        <v>436566</v>
      </c>
      <c r="F1221" s="46" t="s">
        <v>1251</v>
      </c>
      <c r="G1221" s="25">
        <f t="shared" si="23"/>
        <v>9.90506160360205E-3</v>
      </c>
    </row>
    <row r="1222" spans="1:7">
      <c r="A1222" s="46">
        <v>235.83</v>
      </c>
      <c r="B1222" s="46">
        <v>238.24</v>
      </c>
      <c r="C1222" s="46">
        <v>231.79666</v>
      </c>
      <c r="D1222" s="46">
        <v>233.83332999999999</v>
      </c>
      <c r="E1222" s="46">
        <v>792568</v>
      </c>
      <c r="F1222" s="46" t="s">
        <v>1252</v>
      </c>
      <c r="G1222" s="25">
        <f t="shared" si="23"/>
        <v>8.5388597083231321E-3</v>
      </c>
    </row>
    <row r="1223" spans="1:7">
      <c r="A1223" s="46">
        <v>233.10667000000001</v>
      </c>
      <c r="B1223" s="46">
        <v>239.85667000000001</v>
      </c>
      <c r="C1223" s="46">
        <v>231.68665999999999</v>
      </c>
      <c r="D1223" s="46">
        <v>238.57333</v>
      </c>
      <c r="E1223" s="46">
        <v>646924</v>
      </c>
      <c r="F1223" s="46" t="s">
        <v>1253</v>
      </c>
      <c r="G1223" s="25">
        <f t="shared" si="23"/>
        <v>-2.2913961086932888E-2</v>
      </c>
    </row>
    <row r="1224" spans="1:7">
      <c r="A1224" s="46">
        <v>241.54666</v>
      </c>
      <c r="B1224" s="46">
        <v>242.99</v>
      </c>
      <c r="C1224" s="46">
        <v>237.6</v>
      </c>
      <c r="D1224" s="46">
        <v>241.44333</v>
      </c>
      <c r="E1224" s="46">
        <v>352153</v>
      </c>
      <c r="F1224" s="46" t="s">
        <v>1254</v>
      </c>
      <c r="G1224" s="25">
        <f t="shared" si="23"/>
        <v>4.2796792108523718E-4</v>
      </c>
    </row>
    <row r="1225" spans="1:7">
      <c r="A1225" s="46">
        <v>242.21</v>
      </c>
      <c r="B1225" s="46">
        <v>247.16667000000001</v>
      </c>
      <c r="C1225" s="46">
        <v>240.50333000000001</v>
      </c>
      <c r="D1225" s="46">
        <v>246.80332999999999</v>
      </c>
      <c r="E1225" s="46">
        <v>425825</v>
      </c>
      <c r="F1225" s="46" t="s">
        <v>1255</v>
      </c>
      <c r="G1225" s="25">
        <f t="shared" si="23"/>
        <v>-1.8611296695226875E-2</v>
      </c>
    </row>
    <row r="1226" spans="1:7">
      <c r="A1226" s="46">
        <v>245.02</v>
      </c>
      <c r="B1226" s="46">
        <v>245.85</v>
      </c>
      <c r="C1226" s="46">
        <v>241.68333000000001</v>
      </c>
      <c r="D1226" s="46">
        <v>242.44</v>
      </c>
      <c r="E1226" s="46">
        <v>400920</v>
      </c>
      <c r="F1226" s="46" t="s">
        <v>1256</v>
      </c>
      <c r="G1226" s="25">
        <f t="shared" si="23"/>
        <v>1.0641808282461751E-2</v>
      </c>
    </row>
    <row r="1227" spans="1:7">
      <c r="A1227" s="46">
        <v>244.66333</v>
      </c>
      <c r="B1227" s="46">
        <v>245.47</v>
      </c>
      <c r="C1227" s="46">
        <v>240</v>
      </c>
      <c r="D1227" s="46">
        <v>240.37334000000001</v>
      </c>
      <c r="E1227" s="46">
        <v>489055</v>
      </c>
      <c r="F1227" s="46" t="s">
        <v>1257</v>
      </c>
      <c r="G1227" s="25">
        <f t="shared" si="23"/>
        <v>1.7847195533414739E-2</v>
      </c>
    </row>
    <row r="1228" spans="1:7">
      <c r="A1228" s="46">
        <v>244</v>
      </c>
      <c r="B1228" s="46">
        <v>246.32666</v>
      </c>
      <c r="C1228" s="46">
        <v>241.45230000000001</v>
      </c>
      <c r="D1228" s="46">
        <v>243.45334</v>
      </c>
      <c r="E1228" s="46">
        <v>497640</v>
      </c>
      <c r="F1228" s="46" t="s">
        <v>1258</v>
      </c>
      <c r="G1228" s="25">
        <f t="shared" si="23"/>
        <v>2.2454405431446833E-3</v>
      </c>
    </row>
    <row r="1229" spans="1:7">
      <c r="A1229" s="46">
        <v>239.93665999999999</v>
      </c>
      <c r="B1229" s="46">
        <v>242.53666999999999</v>
      </c>
      <c r="C1229" s="46">
        <v>237.61</v>
      </c>
      <c r="D1229" s="46">
        <v>240.32666</v>
      </c>
      <c r="E1229" s="46">
        <v>732710</v>
      </c>
      <c r="F1229" s="46" t="s">
        <v>1259</v>
      </c>
      <c r="G1229" s="25">
        <f t="shared" si="23"/>
        <v>-1.6227912458818272E-3</v>
      </c>
    </row>
    <row r="1230" spans="1:7">
      <c r="A1230" s="46">
        <v>234.26666</v>
      </c>
      <c r="B1230" s="46">
        <v>236.75</v>
      </c>
      <c r="C1230" s="46">
        <v>230.00333000000001</v>
      </c>
      <c r="D1230" s="46">
        <v>232.51334</v>
      </c>
      <c r="E1230" s="46">
        <v>696923</v>
      </c>
      <c r="F1230" s="46" t="s">
        <v>1260</v>
      </c>
      <c r="G1230" s="25">
        <f t="shared" si="23"/>
        <v>7.5407286308819543E-3</v>
      </c>
    </row>
    <row r="1231" spans="1:7">
      <c r="A1231" s="46">
        <v>228.3</v>
      </c>
      <c r="B1231" s="46">
        <v>236.85667000000001</v>
      </c>
      <c r="C1231" s="46">
        <v>227.46665999999999</v>
      </c>
      <c r="D1231" s="46">
        <v>235.11667</v>
      </c>
      <c r="E1231" s="46">
        <v>639192</v>
      </c>
      <c r="F1231" s="46" t="s">
        <v>1261</v>
      </c>
      <c r="G1231" s="25">
        <f t="shared" si="23"/>
        <v>-2.8992712426558209E-2</v>
      </c>
    </row>
    <row r="1232" spans="1:7">
      <c r="A1232" s="46">
        <v>237.79</v>
      </c>
      <c r="B1232" s="46">
        <v>239.48</v>
      </c>
      <c r="C1232" s="46">
        <v>229.08</v>
      </c>
      <c r="D1232" s="46">
        <v>237.41667000000001</v>
      </c>
      <c r="E1232" s="46">
        <v>759138</v>
      </c>
      <c r="F1232" s="46" t="s">
        <v>1262</v>
      </c>
      <c r="G1232" s="25">
        <f t="shared" si="23"/>
        <v>1.5724675103900854E-3</v>
      </c>
    </row>
    <row r="1233" spans="1:7">
      <c r="A1233" s="46">
        <v>236.39</v>
      </c>
      <c r="B1233" s="46">
        <v>242.41333</v>
      </c>
      <c r="C1233" s="46">
        <v>233.01</v>
      </c>
      <c r="D1233" s="46">
        <v>241.66667000000001</v>
      </c>
      <c r="E1233" s="46">
        <v>809226</v>
      </c>
      <c r="F1233" s="46" t="s">
        <v>1263</v>
      </c>
      <c r="G1233" s="25">
        <f t="shared" si="23"/>
        <v>-2.1834496250558777E-2</v>
      </c>
    </row>
    <row r="1234" spans="1:7">
      <c r="A1234" s="46">
        <v>242.38333</v>
      </c>
      <c r="B1234" s="46">
        <v>248.68665999999999</v>
      </c>
      <c r="C1234" s="46">
        <v>240.49367000000001</v>
      </c>
      <c r="D1234" s="46">
        <v>248.68665999999999</v>
      </c>
      <c r="E1234" s="46">
        <v>507117</v>
      </c>
      <c r="F1234" s="46" t="s">
        <v>1264</v>
      </c>
      <c r="G1234" s="25">
        <f t="shared" si="23"/>
        <v>-2.5346474153458809E-2</v>
      </c>
    </row>
    <row r="1235" spans="1:7">
      <c r="A1235" s="46">
        <v>250</v>
      </c>
      <c r="B1235" s="46">
        <v>253.33332999999999</v>
      </c>
      <c r="C1235" s="46">
        <v>248.92667</v>
      </c>
      <c r="D1235" s="46">
        <v>253.33332999999999</v>
      </c>
      <c r="E1235" s="46">
        <v>390993</v>
      </c>
      <c r="F1235" s="46" t="s">
        <v>1265</v>
      </c>
      <c r="G1235" s="25">
        <f t="shared" si="23"/>
        <v>-1.3157881752077327E-2</v>
      </c>
    </row>
    <row r="1236" spans="1:7">
      <c r="A1236" s="46">
        <v>253.07</v>
      </c>
      <c r="B1236" s="46">
        <v>253.59</v>
      </c>
      <c r="C1236" s="46">
        <v>248.55500000000001</v>
      </c>
      <c r="D1236" s="46">
        <v>249.68</v>
      </c>
      <c r="E1236" s="46">
        <v>559227</v>
      </c>
      <c r="F1236" s="46" t="s">
        <v>1266</v>
      </c>
      <c r="G1236" s="25">
        <f t="shared" si="23"/>
        <v>1.3577379045177862E-2</v>
      </c>
    </row>
    <row r="1237" spans="1:7">
      <c r="A1237" s="46">
        <v>245.6</v>
      </c>
      <c r="B1237" s="46">
        <v>249.23473000000001</v>
      </c>
      <c r="C1237" s="46">
        <v>242.10333</v>
      </c>
      <c r="D1237" s="46">
        <v>247.96665999999999</v>
      </c>
      <c r="E1237" s="46">
        <v>669139</v>
      </c>
      <c r="F1237" s="46" t="s">
        <v>1267</v>
      </c>
      <c r="G1237" s="25">
        <f t="shared" si="23"/>
        <v>-9.544266959114589E-3</v>
      </c>
    </row>
    <row r="1238" spans="1:7">
      <c r="A1238" s="46">
        <v>247.26334</v>
      </c>
      <c r="B1238" s="46">
        <v>252.96333000000001</v>
      </c>
      <c r="C1238" s="46">
        <v>243.96665999999999</v>
      </c>
      <c r="D1238" s="46">
        <v>251.62</v>
      </c>
      <c r="E1238" s="46">
        <v>445415</v>
      </c>
      <c r="F1238" s="46" t="s">
        <v>1268</v>
      </c>
      <c r="G1238" s="25">
        <f t="shared" si="23"/>
        <v>-1.7314442413162712E-2</v>
      </c>
    </row>
    <row r="1239" spans="1:7">
      <c r="A1239" s="46">
        <v>252.90333999999999</v>
      </c>
      <c r="B1239" s="46">
        <v>253.22333</v>
      </c>
      <c r="C1239" s="46">
        <v>246.095</v>
      </c>
      <c r="D1239" s="46">
        <v>247.91</v>
      </c>
      <c r="E1239" s="46">
        <v>440223</v>
      </c>
      <c r="F1239" s="46" t="s">
        <v>1269</v>
      </c>
      <c r="G1239" s="25">
        <f t="shared" si="23"/>
        <v>2.0141744988100507E-2</v>
      </c>
    </row>
    <row r="1240" spans="1:7">
      <c r="A1240" s="46">
        <v>248.23666</v>
      </c>
      <c r="B1240" s="46">
        <v>249.54333</v>
      </c>
      <c r="C1240" s="46">
        <v>244.03334000000001</v>
      </c>
      <c r="D1240" s="46">
        <v>247.33332999999999</v>
      </c>
      <c r="E1240" s="46">
        <v>702115</v>
      </c>
      <c r="F1240" s="46" t="s">
        <v>1270</v>
      </c>
      <c r="G1240" s="25">
        <f t="shared" si="23"/>
        <v>3.6522776772545118E-3</v>
      </c>
    </row>
    <row r="1241" spans="1:7">
      <c r="A1241" s="46">
        <v>247.13333</v>
      </c>
      <c r="B1241" s="46">
        <v>250.93</v>
      </c>
      <c r="C1241" s="46">
        <v>245.66667000000001</v>
      </c>
      <c r="D1241" s="46">
        <v>250.59666000000001</v>
      </c>
      <c r="E1241" s="46">
        <v>637077</v>
      </c>
      <c r="F1241" s="46" t="s">
        <v>1271</v>
      </c>
      <c r="G1241" s="25">
        <f t="shared" si="23"/>
        <v>-1.3820335833685915E-2</v>
      </c>
    </row>
    <row r="1242" spans="1:7">
      <c r="A1242" s="46">
        <v>250.05</v>
      </c>
      <c r="B1242" s="46">
        <v>257.75</v>
      </c>
      <c r="C1242" s="46">
        <v>249.89332999999999</v>
      </c>
      <c r="D1242" s="46">
        <v>257.75</v>
      </c>
      <c r="E1242" s="46">
        <v>746343</v>
      </c>
      <c r="F1242" s="46" t="s">
        <v>1272</v>
      </c>
      <c r="G1242" s="25">
        <f t="shared" si="23"/>
        <v>-2.9873908826382078E-2</v>
      </c>
    </row>
    <row r="1243" spans="1:7">
      <c r="A1243" s="46">
        <v>255.84334000000001</v>
      </c>
      <c r="B1243" s="46">
        <v>258.80667</v>
      </c>
      <c r="C1243" s="46">
        <v>252.59666000000001</v>
      </c>
      <c r="D1243" s="46">
        <v>258.19</v>
      </c>
      <c r="E1243" s="46">
        <v>643990</v>
      </c>
      <c r="F1243" s="46" t="s">
        <v>1273</v>
      </c>
      <c r="G1243" s="25">
        <f t="shared" si="23"/>
        <v>-9.0888880281961848E-3</v>
      </c>
    </row>
    <row r="1244" spans="1:7">
      <c r="A1244" s="46">
        <v>260.02</v>
      </c>
      <c r="B1244" s="46">
        <v>262.8</v>
      </c>
      <c r="C1244" s="46">
        <v>258.14</v>
      </c>
      <c r="D1244" s="46">
        <v>260.66665999999998</v>
      </c>
      <c r="E1244" s="46">
        <v>372731</v>
      </c>
      <c r="F1244" s="46" t="s">
        <v>1274</v>
      </c>
      <c r="G1244" s="25">
        <f t="shared" si="23"/>
        <v>-2.4807929023220598E-3</v>
      </c>
    </row>
    <row r="1245" spans="1:7">
      <c r="A1245" s="46">
        <v>263.98334</v>
      </c>
      <c r="B1245" s="46">
        <v>270.93</v>
      </c>
      <c r="C1245" s="46">
        <v>262.96334999999999</v>
      </c>
      <c r="D1245" s="46">
        <v>270</v>
      </c>
      <c r="E1245" s="46">
        <v>673287</v>
      </c>
      <c r="F1245" s="46" t="s">
        <v>1275</v>
      </c>
      <c r="G1245" s="25">
        <f t="shared" si="23"/>
        <v>-2.2283925925925985E-2</v>
      </c>
    </row>
    <row r="1246" spans="1:7">
      <c r="A1246" s="46">
        <v>269.27</v>
      </c>
      <c r="B1246" s="46">
        <v>269.47332999999998</v>
      </c>
      <c r="C1246" s="46">
        <v>264.59719999999999</v>
      </c>
      <c r="D1246" s="46">
        <v>266.42</v>
      </c>
      <c r="E1246" s="46">
        <v>430446</v>
      </c>
      <c r="F1246" s="46" t="s">
        <v>1276</v>
      </c>
      <c r="G1246" s="25">
        <f t="shared" si="23"/>
        <v>1.0697395090458528E-2</v>
      </c>
    </row>
    <row r="1247" spans="1:7">
      <c r="A1247" s="46">
        <v>266.27667000000002</v>
      </c>
      <c r="B1247" s="46">
        <v>266.8</v>
      </c>
      <c r="C1247" s="46">
        <v>262.74</v>
      </c>
      <c r="D1247" s="46">
        <v>264.66665999999998</v>
      </c>
      <c r="E1247" s="46">
        <v>427949</v>
      </c>
      <c r="F1247" s="46" t="s">
        <v>1277</v>
      </c>
      <c r="G1247" s="25">
        <f t="shared" si="23"/>
        <v>6.0831613622964742E-3</v>
      </c>
    </row>
    <row r="1248" spans="1:7">
      <c r="A1248" s="46">
        <v>262.69666000000001</v>
      </c>
      <c r="B1248" s="46">
        <v>264.83667000000003</v>
      </c>
      <c r="C1248" s="46">
        <v>259.63850000000002</v>
      </c>
      <c r="D1248" s="46">
        <v>262.33334000000002</v>
      </c>
      <c r="E1248" s="46">
        <v>560659</v>
      </c>
      <c r="F1248" s="46" t="s">
        <v>1278</v>
      </c>
      <c r="G1248" s="25">
        <f t="shared" si="23"/>
        <v>1.38495549212303E-3</v>
      </c>
    </row>
    <row r="1249" spans="1:7">
      <c r="A1249" s="46">
        <v>259.78332999999998</v>
      </c>
      <c r="B1249" s="46">
        <v>262.97000000000003</v>
      </c>
      <c r="C1249" s="46">
        <v>256.92667</v>
      </c>
      <c r="D1249" s="46">
        <v>257.66332999999997</v>
      </c>
      <c r="E1249" s="46">
        <v>505541</v>
      </c>
      <c r="F1249" s="46" t="s">
        <v>1279</v>
      </c>
      <c r="G1249" s="25">
        <f t="shared" ref="G1249:G1312" si="24">A1249/D1249-1</f>
        <v>8.2277908928678478E-3</v>
      </c>
    </row>
    <row r="1250" spans="1:7">
      <c r="A1250" s="46">
        <v>256.66332999999997</v>
      </c>
      <c r="B1250" s="46">
        <v>258.34667999999999</v>
      </c>
      <c r="C1250" s="46">
        <v>253.95334</v>
      </c>
      <c r="D1250" s="46">
        <v>256.08667000000003</v>
      </c>
      <c r="E1250" s="46">
        <v>429145</v>
      </c>
      <c r="F1250" s="46" t="s">
        <v>1280</v>
      </c>
      <c r="G1250" s="25">
        <f t="shared" si="24"/>
        <v>2.2518157622180013E-3</v>
      </c>
    </row>
    <row r="1251" spans="1:7">
      <c r="A1251" s="46">
        <v>254.08332999999999</v>
      </c>
      <c r="B1251" s="46">
        <v>255.44333</v>
      </c>
      <c r="C1251" s="46">
        <v>253.5</v>
      </c>
      <c r="D1251" s="46">
        <v>254.86667</v>
      </c>
      <c r="E1251" s="46">
        <v>435719</v>
      </c>
      <c r="F1251" s="46" t="s">
        <v>1281</v>
      </c>
      <c r="G1251" s="25">
        <f t="shared" si="24"/>
        <v>-3.0735286022295361E-3</v>
      </c>
    </row>
    <row r="1252" spans="1:7">
      <c r="A1252" s="46">
        <v>252.35</v>
      </c>
      <c r="B1252" s="46">
        <v>254.88</v>
      </c>
      <c r="C1252" s="46">
        <v>248.42</v>
      </c>
      <c r="D1252" s="46">
        <v>250</v>
      </c>
      <c r="E1252" s="46">
        <v>759027</v>
      </c>
      <c r="F1252" s="46" t="s">
        <v>1282</v>
      </c>
      <c r="G1252" s="25">
        <f t="shared" si="24"/>
        <v>9.400000000000075E-3</v>
      </c>
    </row>
    <row r="1253" spans="1:7">
      <c r="A1253" s="46">
        <v>248.46665999999999</v>
      </c>
      <c r="B1253" s="46">
        <v>252.58667</v>
      </c>
      <c r="C1253" s="46">
        <v>248.20334</v>
      </c>
      <c r="D1253" s="46">
        <v>251.66333</v>
      </c>
      <c r="E1253" s="46">
        <v>510705</v>
      </c>
      <c r="F1253" s="46" t="s">
        <v>1283</v>
      </c>
      <c r="G1253" s="25">
        <f t="shared" si="24"/>
        <v>-1.2702168408881831E-2</v>
      </c>
    </row>
    <row r="1254" spans="1:7">
      <c r="A1254" s="46">
        <v>252.61332999999999</v>
      </c>
      <c r="B1254" s="46">
        <v>256.16332999999997</v>
      </c>
      <c r="C1254" s="46">
        <v>251.22</v>
      </c>
      <c r="D1254" s="46">
        <v>251.22</v>
      </c>
      <c r="E1254" s="46">
        <v>551470</v>
      </c>
      <c r="F1254" s="46" t="s">
        <v>1284</v>
      </c>
      <c r="G1254" s="25">
        <f t="shared" si="24"/>
        <v>5.5462542791178127E-3</v>
      </c>
    </row>
    <row r="1255" spans="1:7">
      <c r="A1255" s="46">
        <v>248.70334</v>
      </c>
      <c r="B1255" s="46">
        <v>253.62334000000001</v>
      </c>
      <c r="C1255" s="46">
        <v>246.66667000000001</v>
      </c>
      <c r="D1255" s="46">
        <v>250.66667000000001</v>
      </c>
      <c r="E1255" s="46">
        <v>628026</v>
      </c>
      <c r="F1255" s="46" t="s">
        <v>1285</v>
      </c>
      <c r="G1255" s="25">
        <f t="shared" si="24"/>
        <v>-7.832433406483652E-3</v>
      </c>
    </row>
    <row r="1256" spans="1:7">
      <c r="A1256" s="46">
        <v>249.21333000000001</v>
      </c>
      <c r="B1256" s="46">
        <v>253.72329999999999</v>
      </c>
      <c r="C1256" s="46">
        <v>247.16667000000001</v>
      </c>
      <c r="D1256" s="46">
        <v>251.45466999999999</v>
      </c>
      <c r="E1256" s="46">
        <v>630112</v>
      </c>
      <c r="F1256" s="46" t="s">
        <v>1286</v>
      </c>
      <c r="G1256" s="25">
        <f t="shared" si="24"/>
        <v>-8.9134952236121778E-3</v>
      </c>
    </row>
    <row r="1257" spans="1:7">
      <c r="A1257" s="46">
        <v>255.12</v>
      </c>
      <c r="B1257" s="46">
        <v>259.41332999999997</v>
      </c>
      <c r="C1257" s="46">
        <v>254.97667000000001</v>
      </c>
      <c r="D1257" s="46">
        <v>255.68333000000001</v>
      </c>
      <c r="E1257" s="46">
        <v>573762</v>
      </c>
      <c r="F1257" s="46" t="s">
        <v>1287</v>
      </c>
      <c r="G1257" s="25">
        <f t="shared" si="24"/>
        <v>-2.2032331947491324E-3</v>
      </c>
    </row>
    <row r="1258" spans="1:7">
      <c r="A1258" s="46">
        <v>252.91</v>
      </c>
      <c r="B1258" s="46">
        <v>256.46334999999999</v>
      </c>
      <c r="C1258" s="46">
        <v>248.98670000000001</v>
      </c>
      <c r="D1258" s="46">
        <v>253.46665999999999</v>
      </c>
      <c r="E1258" s="46">
        <v>772512</v>
      </c>
      <c r="F1258" s="46" t="s">
        <v>1288</v>
      </c>
      <c r="G1258" s="25">
        <f t="shared" si="24"/>
        <v>-2.1961862755440764E-3</v>
      </c>
    </row>
    <row r="1259" spans="1:7">
      <c r="A1259" s="46">
        <v>256.55</v>
      </c>
      <c r="B1259" s="46">
        <v>257.54333000000003</v>
      </c>
      <c r="C1259" s="46">
        <v>251.005</v>
      </c>
      <c r="D1259" s="46">
        <v>251.49332999999999</v>
      </c>
      <c r="E1259" s="46">
        <v>1012317</v>
      </c>
      <c r="F1259" s="46" t="s">
        <v>1289</v>
      </c>
      <c r="G1259" s="25">
        <f t="shared" si="24"/>
        <v>2.0106576981584467E-2</v>
      </c>
    </row>
    <row r="1260" spans="1:7">
      <c r="A1260" s="46">
        <v>250.67</v>
      </c>
      <c r="B1260" s="46">
        <v>251.55</v>
      </c>
      <c r="C1260" s="46">
        <v>245.21333000000001</v>
      </c>
      <c r="D1260" s="46">
        <v>249.13667000000001</v>
      </c>
      <c r="E1260" s="46">
        <v>1102403</v>
      </c>
      <c r="F1260" s="46" t="s">
        <v>1290</v>
      </c>
      <c r="G1260" s="25">
        <f t="shared" si="24"/>
        <v>6.154573712492839E-3</v>
      </c>
    </row>
    <row r="1261" spans="1:7">
      <c r="A1261" s="46">
        <v>248.02667</v>
      </c>
      <c r="B1261" s="46">
        <v>263.07333</v>
      </c>
      <c r="C1261" s="46">
        <v>247.84334000000001</v>
      </c>
      <c r="D1261" s="46">
        <v>261.01334000000003</v>
      </c>
      <c r="E1261" s="46">
        <v>1766446</v>
      </c>
      <c r="F1261" s="46" t="s">
        <v>1291</v>
      </c>
      <c r="G1261" s="25">
        <f t="shared" si="24"/>
        <v>-4.9754813298048428E-2</v>
      </c>
    </row>
    <row r="1262" spans="1:7">
      <c r="A1262" s="46">
        <v>266.22332999999998</v>
      </c>
      <c r="B1262" s="46">
        <v>267.33334000000002</v>
      </c>
      <c r="C1262" s="46">
        <v>260.86667</v>
      </c>
      <c r="D1262" s="46">
        <v>265.44333</v>
      </c>
      <c r="E1262" s="46">
        <v>660063</v>
      </c>
      <c r="F1262" s="46" t="s">
        <v>1292</v>
      </c>
      <c r="G1262" s="25">
        <f t="shared" si="24"/>
        <v>2.9384803151768502E-3</v>
      </c>
    </row>
    <row r="1263" spans="1:7">
      <c r="A1263" s="46">
        <v>266.19</v>
      </c>
      <c r="B1263" s="46">
        <v>267.22332999999998</v>
      </c>
      <c r="C1263" s="46">
        <v>260.54333000000003</v>
      </c>
      <c r="D1263" s="46">
        <v>261.85000000000002</v>
      </c>
      <c r="E1263" s="46">
        <v>549472</v>
      </c>
      <c r="F1263" s="46" t="s">
        <v>1293</v>
      </c>
      <c r="G1263" s="25">
        <f t="shared" si="24"/>
        <v>1.6574374641970424E-2</v>
      </c>
    </row>
    <row r="1264" spans="1:7">
      <c r="A1264" s="46">
        <v>259.47000000000003</v>
      </c>
      <c r="B1264" s="46">
        <v>264</v>
      </c>
      <c r="C1264" s="46">
        <v>258.47372000000001</v>
      </c>
      <c r="D1264" s="46">
        <v>261.69666000000001</v>
      </c>
      <c r="E1264" s="46">
        <v>640456</v>
      </c>
      <c r="F1264" s="46" t="s">
        <v>1294</v>
      </c>
      <c r="G1264" s="25">
        <f t="shared" si="24"/>
        <v>-8.5085533762638832E-3</v>
      </c>
    </row>
    <row r="1265" spans="1:7">
      <c r="A1265" s="46">
        <v>259.47332999999998</v>
      </c>
      <c r="B1265" s="46">
        <v>267.35333000000003</v>
      </c>
      <c r="C1265" s="46">
        <v>259</v>
      </c>
      <c r="D1265" s="46">
        <v>266.68668000000002</v>
      </c>
      <c r="E1265" s="46">
        <v>772848</v>
      </c>
      <c r="F1265" s="46" t="s">
        <v>1295</v>
      </c>
      <c r="G1265" s="25">
        <f t="shared" si="24"/>
        <v>-2.7048032545157641E-2</v>
      </c>
    </row>
    <row r="1266" spans="1:7">
      <c r="A1266" s="46">
        <v>265.71334999999999</v>
      </c>
      <c r="B1266" s="46">
        <v>271.92334</v>
      </c>
      <c r="C1266" s="46">
        <v>265.01666</v>
      </c>
      <c r="D1266" s="46">
        <v>271.43</v>
      </c>
      <c r="E1266" s="46">
        <v>486925</v>
      </c>
      <c r="F1266" s="46" t="s">
        <v>1296</v>
      </c>
      <c r="G1266" s="25">
        <f t="shared" si="24"/>
        <v>-2.1061231256677693E-2</v>
      </c>
    </row>
    <row r="1267" spans="1:7">
      <c r="A1267" s="46">
        <v>270.48334</v>
      </c>
      <c r="B1267" s="46">
        <v>274.66665999999998</v>
      </c>
      <c r="C1267" s="46">
        <v>262</v>
      </c>
      <c r="D1267" s="46">
        <v>262.45666999999997</v>
      </c>
      <c r="E1267" s="46">
        <v>850141</v>
      </c>
      <c r="F1267" s="46" t="s">
        <v>1297</v>
      </c>
      <c r="G1267" s="25">
        <f t="shared" si="24"/>
        <v>3.0582838683429259E-2</v>
      </c>
    </row>
    <row r="1268" spans="1:7">
      <c r="A1268" s="46">
        <v>262.81</v>
      </c>
      <c r="B1268" s="46">
        <v>271.01</v>
      </c>
      <c r="C1268" s="46">
        <v>262.76666</v>
      </c>
      <c r="D1268" s="46">
        <v>270.44666000000001</v>
      </c>
      <c r="E1268" s="46">
        <v>634619</v>
      </c>
      <c r="F1268" s="46" t="s">
        <v>1298</v>
      </c>
      <c r="G1268" s="25">
        <f t="shared" si="24"/>
        <v>-2.8237213208697098E-2</v>
      </c>
    </row>
    <row r="1269" spans="1:7">
      <c r="A1269" s="46">
        <v>271.21667000000002</v>
      </c>
      <c r="B1269" s="46">
        <v>272.81</v>
      </c>
      <c r="C1269" s="46">
        <v>267.94670000000002</v>
      </c>
      <c r="D1269" s="46">
        <v>272.81</v>
      </c>
      <c r="E1269" s="46">
        <v>548245</v>
      </c>
      <c r="F1269" s="46" t="s">
        <v>1299</v>
      </c>
      <c r="G1269" s="25">
        <f t="shared" si="24"/>
        <v>-5.8404384003518661E-3</v>
      </c>
    </row>
    <row r="1270" spans="1:7">
      <c r="A1270" s="46">
        <v>272.91665999999998</v>
      </c>
      <c r="B1270" s="46">
        <v>275.13159999999999</v>
      </c>
      <c r="C1270" s="46">
        <v>268.02</v>
      </c>
      <c r="D1270" s="46">
        <v>268.07333</v>
      </c>
      <c r="E1270" s="46">
        <v>476195</v>
      </c>
      <c r="F1270" s="46" t="s">
        <v>1300</v>
      </c>
      <c r="G1270" s="25">
        <f t="shared" si="24"/>
        <v>1.8067183333754233E-2</v>
      </c>
    </row>
    <row r="1271" spans="1:7">
      <c r="A1271" s="46">
        <v>269.40332000000001</v>
      </c>
      <c r="B1271" s="46">
        <v>270.13499999999999</v>
      </c>
      <c r="C1271" s="46">
        <v>263.33334000000002</v>
      </c>
      <c r="D1271" s="46">
        <v>266.29000000000002</v>
      </c>
      <c r="E1271" s="46">
        <v>428487</v>
      </c>
      <c r="F1271" s="46" t="s">
        <v>1301</v>
      </c>
      <c r="G1271" s="25">
        <f t="shared" si="24"/>
        <v>1.1691464193172907E-2</v>
      </c>
    </row>
    <row r="1272" spans="1:7">
      <c r="A1272" s="46">
        <v>264.26334000000003</v>
      </c>
      <c r="B1272" s="46">
        <v>266.66665999999998</v>
      </c>
      <c r="C1272" s="46">
        <v>262.28665000000001</v>
      </c>
      <c r="D1272" s="46">
        <v>265.09332000000001</v>
      </c>
      <c r="E1272" s="46">
        <v>690459</v>
      </c>
      <c r="F1272" s="46" t="s">
        <v>1302</v>
      </c>
      <c r="G1272" s="25">
        <f t="shared" si="24"/>
        <v>-3.1308974515087407E-3</v>
      </c>
    </row>
    <row r="1273" spans="1:7">
      <c r="A1273" s="46">
        <v>268.35000000000002</v>
      </c>
      <c r="B1273" s="46">
        <v>270.46334999999999</v>
      </c>
      <c r="C1273" s="46">
        <v>263.13</v>
      </c>
      <c r="D1273" s="46">
        <v>264.63</v>
      </c>
      <c r="E1273" s="46">
        <v>454674</v>
      </c>
      <c r="F1273" s="46" t="s">
        <v>1303</v>
      </c>
      <c r="G1273" s="25">
        <f t="shared" si="24"/>
        <v>1.4057363110758558E-2</v>
      </c>
    </row>
    <row r="1274" spans="1:7">
      <c r="A1274" s="46">
        <v>266.66665999999998</v>
      </c>
      <c r="B1274" s="46">
        <v>275.27999999999997</v>
      </c>
      <c r="C1274" s="46">
        <v>262.95999999999998</v>
      </c>
      <c r="D1274" s="46">
        <v>275.27999999999997</v>
      </c>
      <c r="E1274" s="46">
        <v>593862</v>
      </c>
      <c r="F1274" s="46" t="s">
        <v>1304</v>
      </c>
      <c r="G1274" s="25">
        <f t="shared" si="24"/>
        <v>-3.1289378087765218E-2</v>
      </c>
    </row>
    <row r="1275" spans="1:7">
      <c r="A1275" s="46">
        <v>272.7</v>
      </c>
      <c r="B1275" s="46">
        <v>273.67500000000001</v>
      </c>
      <c r="C1275" s="46">
        <v>270.10248000000001</v>
      </c>
      <c r="D1275" s="46">
        <v>271.83999999999997</v>
      </c>
      <c r="E1275" s="46">
        <v>386888</v>
      </c>
      <c r="F1275" s="46" t="s">
        <v>1305</v>
      </c>
      <c r="G1275" s="25">
        <f t="shared" si="24"/>
        <v>3.1636256621543346E-3</v>
      </c>
    </row>
    <row r="1276" spans="1:7">
      <c r="A1276" s="46">
        <v>271.76666</v>
      </c>
      <c r="B1276" s="46">
        <v>274.05</v>
      </c>
      <c r="C1276" s="46">
        <v>270.67833999999999</v>
      </c>
      <c r="D1276" s="46">
        <v>273.33</v>
      </c>
      <c r="E1276" s="46">
        <v>258532</v>
      </c>
      <c r="F1276" s="46" t="s">
        <v>1306</v>
      </c>
      <c r="G1276" s="25">
        <f t="shared" si="24"/>
        <v>-5.7196063366625749E-3</v>
      </c>
    </row>
    <row r="1277" spans="1:7">
      <c r="A1277" s="46">
        <v>271.35665999999998</v>
      </c>
      <c r="B1277" s="46">
        <v>273.43331999999998</v>
      </c>
      <c r="C1277" s="46">
        <v>269.04500000000002</v>
      </c>
      <c r="D1277" s="46">
        <v>270.79000000000002</v>
      </c>
      <c r="E1277" s="46">
        <v>373417</v>
      </c>
      <c r="F1277" s="46" t="s">
        <v>1307</v>
      </c>
      <c r="G1277" s="25">
        <f t="shared" si="24"/>
        <v>2.0926178957862973E-3</v>
      </c>
    </row>
    <row r="1278" spans="1:7">
      <c r="A1278" s="46">
        <v>268.38666000000001</v>
      </c>
      <c r="B1278" s="46">
        <v>273.33</v>
      </c>
      <c r="C1278" s="46">
        <v>265.74</v>
      </c>
      <c r="D1278" s="46">
        <v>272.73665999999997</v>
      </c>
      <c r="E1278" s="46">
        <v>409870</v>
      </c>
      <c r="F1278" s="46" t="s">
        <v>1308</v>
      </c>
      <c r="G1278" s="25">
        <f t="shared" si="24"/>
        <v>-1.5949451019895755E-2</v>
      </c>
    </row>
    <row r="1279" spans="1:7">
      <c r="A1279" s="46">
        <v>269</v>
      </c>
      <c r="B1279" s="46">
        <v>270.77999999999997</v>
      </c>
      <c r="C1279" s="46">
        <v>267.67</v>
      </c>
      <c r="D1279" s="46">
        <v>270.23665999999997</v>
      </c>
      <c r="E1279" s="46">
        <v>163268</v>
      </c>
      <c r="F1279" s="46" t="s">
        <v>1309</v>
      </c>
      <c r="G1279" s="25">
        <f t="shared" si="24"/>
        <v>-4.576211088458404E-3</v>
      </c>
    </row>
    <row r="1280" spans="1:7">
      <c r="A1280" s="46">
        <v>269.88333</v>
      </c>
      <c r="B1280" s="46">
        <v>275.60333000000003</v>
      </c>
      <c r="C1280" s="46">
        <v>269.51</v>
      </c>
      <c r="D1280" s="46">
        <v>272.33667000000003</v>
      </c>
      <c r="E1280" s="46">
        <v>644305</v>
      </c>
      <c r="F1280" s="46" t="s">
        <v>1310</v>
      </c>
      <c r="G1280" s="25">
        <f t="shared" si="24"/>
        <v>-9.0084820380598174E-3</v>
      </c>
    </row>
    <row r="1281" spans="1:7">
      <c r="A1281" s="46">
        <v>271.75</v>
      </c>
      <c r="B1281" s="46">
        <v>272.27999999999997</v>
      </c>
      <c r="C1281" s="46">
        <v>262.75664999999998</v>
      </c>
      <c r="D1281" s="46">
        <v>263.37</v>
      </c>
      <c r="E1281" s="46">
        <v>748731</v>
      </c>
      <c r="F1281" s="46" t="s">
        <v>1311</v>
      </c>
      <c r="G1281" s="25">
        <f t="shared" si="24"/>
        <v>3.1818354406348393E-2</v>
      </c>
    </row>
    <row r="1282" spans="1:7">
      <c r="A1282" s="46">
        <v>263.08999999999997</v>
      </c>
      <c r="B1282" s="46">
        <v>263.32666</v>
      </c>
      <c r="C1282" s="46">
        <v>256.06</v>
      </c>
      <c r="D1282" s="46">
        <v>259.33667000000003</v>
      </c>
      <c r="E1282" s="46">
        <v>514001</v>
      </c>
      <c r="F1282" s="46" t="s">
        <v>1312</v>
      </c>
      <c r="G1282" s="25">
        <f t="shared" si="24"/>
        <v>1.447280864676781E-2</v>
      </c>
    </row>
    <row r="1283" spans="1:7">
      <c r="A1283" s="46">
        <v>263.02999999999997</v>
      </c>
      <c r="B1283" s="46">
        <v>263.60000000000002</v>
      </c>
      <c r="C1283" s="46">
        <v>258.34661999999997</v>
      </c>
      <c r="D1283" s="46">
        <v>262.26334000000003</v>
      </c>
      <c r="E1283" s="46">
        <v>874293</v>
      </c>
      <c r="F1283" s="46" t="s">
        <v>1313</v>
      </c>
      <c r="G1283" s="25">
        <f t="shared" si="24"/>
        <v>2.923245010148845E-3</v>
      </c>
    </row>
    <row r="1284" spans="1:7">
      <c r="A1284" s="46">
        <v>259.92667</v>
      </c>
      <c r="B1284" s="46">
        <v>260.41500000000002</v>
      </c>
      <c r="C1284" s="46">
        <v>255.75</v>
      </c>
      <c r="D1284" s="46">
        <v>257.12668000000002</v>
      </c>
      <c r="E1284" s="46">
        <v>435540</v>
      </c>
      <c r="F1284" s="46" t="s">
        <v>1314</v>
      </c>
      <c r="G1284" s="25">
        <f t="shared" si="24"/>
        <v>1.0889535072750922E-2</v>
      </c>
    </row>
    <row r="1285" spans="1:7">
      <c r="A1285" s="46">
        <v>255.35333</v>
      </c>
      <c r="B1285" s="46">
        <v>256.65332000000001</v>
      </c>
      <c r="C1285" s="46">
        <v>254.01832999999999</v>
      </c>
      <c r="D1285" s="46">
        <v>255.25</v>
      </c>
      <c r="E1285" s="46">
        <v>359630</v>
      </c>
      <c r="F1285" s="46" t="s">
        <v>1315</v>
      </c>
      <c r="G1285" s="25">
        <f t="shared" si="24"/>
        <v>4.0481880509313228E-4</v>
      </c>
    </row>
    <row r="1286" spans="1:7">
      <c r="A1286" s="46">
        <v>256.16332999999997</v>
      </c>
      <c r="B1286" s="46">
        <v>257.18668000000002</v>
      </c>
      <c r="C1286" s="46">
        <v>251.66667000000001</v>
      </c>
      <c r="D1286" s="46">
        <v>252.33667</v>
      </c>
      <c r="E1286" s="46">
        <v>432614</v>
      </c>
      <c r="F1286" s="46" t="s">
        <v>1316</v>
      </c>
      <c r="G1286" s="25">
        <f t="shared" si="24"/>
        <v>1.5164898546057515E-2</v>
      </c>
    </row>
    <row r="1287" spans="1:7">
      <c r="A1287" s="46">
        <v>254.93</v>
      </c>
      <c r="B1287" s="46">
        <v>260.20999999999998</v>
      </c>
      <c r="C1287" s="46">
        <v>254.01666</v>
      </c>
      <c r="D1287" s="46">
        <v>254.66667000000001</v>
      </c>
      <c r="E1287" s="46">
        <v>598133</v>
      </c>
      <c r="F1287" s="46" t="s">
        <v>1317</v>
      </c>
      <c r="G1287" s="25">
        <f t="shared" si="24"/>
        <v>1.0340183110730816E-3</v>
      </c>
    </row>
    <row r="1288" spans="1:7">
      <c r="A1288" s="46">
        <v>253.33332999999999</v>
      </c>
      <c r="B1288" s="46">
        <v>253.96665999999999</v>
      </c>
      <c r="C1288" s="46">
        <v>248.62665999999999</v>
      </c>
      <c r="D1288" s="46">
        <v>251.38333</v>
      </c>
      <c r="E1288" s="46">
        <v>545860</v>
      </c>
      <c r="F1288" s="46" t="s">
        <v>1318</v>
      </c>
      <c r="G1288" s="25">
        <f t="shared" si="24"/>
        <v>7.7570776073336845E-3</v>
      </c>
    </row>
    <row r="1289" spans="1:7">
      <c r="A1289" s="46">
        <v>252.69</v>
      </c>
      <c r="B1289" s="46">
        <v>255.6</v>
      </c>
      <c r="C1289" s="46">
        <v>249.36</v>
      </c>
      <c r="D1289" s="46">
        <v>251.86667</v>
      </c>
      <c r="E1289" s="46">
        <v>496207</v>
      </c>
      <c r="F1289" s="46" t="s">
        <v>1319</v>
      </c>
      <c r="G1289" s="25">
        <f t="shared" si="24"/>
        <v>3.2689120795539317E-3</v>
      </c>
    </row>
    <row r="1290" spans="1:7">
      <c r="A1290" s="46">
        <v>251.17</v>
      </c>
      <c r="B1290" s="46">
        <v>255.87</v>
      </c>
      <c r="C1290" s="46">
        <v>250.03334000000001</v>
      </c>
      <c r="D1290" s="46">
        <v>255.87</v>
      </c>
      <c r="E1290" s="46">
        <v>529155</v>
      </c>
      <c r="F1290" s="46" t="s">
        <v>1320</v>
      </c>
      <c r="G1290" s="25">
        <f t="shared" si="24"/>
        <v>-1.8368702856919605E-2</v>
      </c>
    </row>
    <row r="1291" spans="1:7">
      <c r="A1291" s="46">
        <v>255.11667</v>
      </c>
      <c r="B1291" s="46">
        <v>255.86</v>
      </c>
      <c r="C1291" s="46">
        <v>251.66667000000001</v>
      </c>
      <c r="D1291" s="46">
        <v>254.28666999999999</v>
      </c>
      <c r="E1291" s="46">
        <v>425393</v>
      </c>
      <c r="F1291" s="46" t="s">
        <v>1321</v>
      </c>
      <c r="G1291" s="25">
        <f t="shared" si="24"/>
        <v>3.2640326761919081E-3</v>
      </c>
    </row>
    <row r="1292" spans="1:7">
      <c r="A1292" s="46">
        <v>254.79666</v>
      </c>
      <c r="B1292" s="46">
        <v>260.17667</v>
      </c>
      <c r="C1292" s="46">
        <v>254.10667000000001</v>
      </c>
      <c r="D1292" s="46">
        <v>259.33334000000002</v>
      </c>
      <c r="E1292" s="46">
        <v>577469</v>
      </c>
      <c r="F1292" s="46" t="s">
        <v>1322</v>
      </c>
      <c r="G1292" s="25">
        <f t="shared" si="24"/>
        <v>-1.7493624228955729E-2</v>
      </c>
    </row>
    <row r="1293" spans="1:7">
      <c r="A1293" s="46">
        <v>260.11333999999999</v>
      </c>
      <c r="B1293" s="46">
        <v>260.63164999999998</v>
      </c>
      <c r="C1293" s="46">
        <v>251.15665999999999</v>
      </c>
      <c r="D1293" s="46">
        <v>251.15665999999999</v>
      </c>
      <c r="E1293" s="46">
        <v>553878</v>
      </c>
      <c r="F1293" s="46" t="s">
        <v>1323</v>
      </c>
      <c r="G1293" s="25">
        <f t="shared" si="24"/>
        <v>3.5661726031871899E-2</v>
      </c>
    </row>
    <row r="1294" spans="1:7">
      <c r="A1294" s="46">
        <v>252.90665999999999</v>
      </c>
      <c r="B1294" s="46">
        <v>254.75</v>
      </c>
      <c r="C1294" s="46">
        <v>249.62334000000001</v>
      </c>
      <c r="D1294" s="46">
        <v>250.66333</v>
      </c>
      <c r="E1294" s="46">
        <v>544782</v>
      </c>
      <c r="F1294" s="46" t="s">
        <v>1324</v>
      </c>
      <c r="G1294" s="25">
        <f t="shared" si="24"/>
        <v>8.9495739165357246E-3</v>
      </c>
    </row>
    <row r="1295" spans="1:7">
      <c r="A1295" s="46">
        <v>250.42667</v>
      </c>
      <c r="B1295" s="46">
        <v>251.4</v>
      </c>
      <c r="C1295" s="46">
        <v>243.67</v>
      </c>
      <c r="D1295" s="46">
        <v>243.67</v>
      </c>
      <c r="E1295" s="46">
        <v>587047</v>
      </c>
      <c r="F1295" s="46" t="s">
        <v>1325</v>
      </c>
      <c r="G1295" s="25">
        <f t="shared" si="24"/>
        <v>2.7728772520211775E-2</v>
      </c>
    </row>
    <row r="1296" spans="1:7">
      <c r="A1296" s="46">
        <v>244.55</v>
      </c>
      <c r="B1296" s="46">
        <v>245.50667000000001</v>
      </c>
      <c r="C1296" s="46">
        <v>240.61667</v>
      </c>
      <c r="D1296" s="46">
        <v>244.43333000000001</v>
      </c>
      <c r="E1296" s="46">
        <v>518983</v>
      </c>
      <c r="F1296" s="46" t="s">
        <v>1326</v>
      </c>
      <c r="G1296" s="25">
        <f t="shared" si="24"/>
        <v>4.7730806596635311E-4</v>
      </c>
    </row>
    <row r="1297" spans="1:7">
      <c r="A1297" s="46">
        <v>242.01666</v>
      </c>
      <c r="B1297" s="46">
        <v>244.63</v>
      </c>
      <c r="C1297" s="46">
        <v>240.33332999999999</v>
      </c>
      <c r="D1297" s="46">
        <v>241.80332999999999</v>
      </c>
      <c r="E1297" s="46">
        <v>784644</v>
      </c>
      <c r="F1297" s="46" t="s">
        <v>1327</v>
      </c>
      <c r="G1297" s="25">
        <f t="shared" si="24"/>
        <v>8.8224591447949585E-4</v>
      </c>
    </row>
    <row r="1298" spans="1:7">
      <c r="A1298" s="46">
        <v>243.27332999999999</v>
      </c>
      <c r="B1298" s="46">
        <v>245.19</v>
      </c>
      <c r="C1298" s="46">
        <v>242</v>
      </c>
      <c r="D1298" s="46">
        <v>245.12334000000001</v>
      </c>
      <c r="E1298" s="46">
        <v>265388</v>
      </c>
      <c r="F1298" s="46" t="s">
        <v>1328</v>
      </c>
      <c r="G1298" s="25">
        <f t="shared" si="24"/>
        <v>-7.5472617173053536E-3</v>
      </c>
    </row>
    <row r="1299" spans="1:7">
      <c r="A1299" s="46">
        <v>242.12334000000001</v>
      </c>
      <c r="B1299" s="46">
        <v>244.24666999999999</v>
      </c>
      <c r="C1299" s="46">
        <v>241.62334000000001</v>
      </c>
      <c r="D1299" s="46">
        <v>243.1</v>
      </c>
      <c r="E1299" s="46">
        <v>343001</v>
      </c>
      <c r="F1299" s="46" t="s">
        <v>1329</v>
      </c>
      <c r="G1299" s="25">
        <f t="shared" si="24"/>
        <v>-4.0175236528177116E-3</v>
      </c>
    </row>
    <row r="1300" spans="1:7">
      <c r="A1300" s="46">
        <v>241.61332999999999</v>
      </c>
      <c r="B1300" s="46">
        <v>242.88333</v>
      </c>
      <c r="C1300" s="46">
        <v>240.34</v>
      </c>
      <c r="D1300" s="46">
        <v>242.3</v>
      </c>
      <c r="E1300" s="46">
        <v>587238</v>
      </c>
      <c r="F1300" s="46" t="s">
        <v>1330</v>
      </c>
      <c r="G1300" s="25">
        <f t="shared" si="24"/>
        <v>-2.8339661576558539E-3</v>
      </c>
    </row>
    <row r="1301" spans="1:7">
      <c r="A1301" s="46">
        <v>239.68333000000001</v>
      </c>
      <c r="B1301" s="46">
        <v>244.68167</v>
      </c>
      <c r="C1301" s="46">
        <v>237.69</v>
      </c>
      <c r="D1301" s="46">
        <v>243.82666</v>
      </c>
      <c r="E1301" s="46">
        <v>501051</v>
      </c>
      <c r="F1301" s="46" t="s">
        <v>1331</v>
      </c>
      <c r="G1301" s="25">
        <f t="shared" si="24"/>
        <v>-1.6992932602201916E-2</v>
      </c>
    </row>
    <row r="1302" spans="1:7">
      <c r="A1302" s="46">
        <v>243.58</v>
      </c>
      <c r="B1302" s="46">
        <v>245.08500000000001</v>
      </c>
      <c r="C1302" s="46">
        <v>242.21</v>
      </c>
      <c r="D1302" s="46">
        <v>243.67</v>
      </c>
      <c r="E1302" s="46">
        <v>389672</v>
      </c>
      <c r="F1302" s="46" t="s">
        <v>1332</v>
      </c>
      <c r="G1302" s="25">
        <f t="shared" si="24"/>
        <v>-3.6935199244869654E-4</v>
      </c>
    </row>
    <row r="1303" spans="1:7">
      <c r="A1303" s="46">
        <v>244.65</v>
      </c>
      <c r="B1303" s="46">
        <v>245.81</v>
      </c>
      <c r="C1303" s="46">
        <v>241.16333</v>
      </c>
      <c r="D1303" s="46">
        <v>243.58667</v>
      </c>
      <c r="E1303" s="46">
        <v>380536</v>
      </c>
      <c r="F1303" s="46" t="s">
        <v>1333</v>
      </c>
      <c r="G1303" s="25">
        <f t="shared" si="24"/>
        <v>4.3653045546376834E-3</v>
      </c>
    </row>
    <row r="1304" spans="1:7">
      <c r="A1304" s="46">
        <v>244.46</v>
      </c>
      <c r="B1304" s="46">
        <v>249.24332999999999</v>
      </c>
      <c r="C1304" s="46">
        <v>244.33332999999999</v>
      </c>
      <c r="D1304" s="46">
        <v>249.08</v>
      </c>
      <c r="E1304" s="46">
        <v>434013</v>
      </c>
      <c r="F1304" s="46" t="s">
        <v>1334</v>
      </c>
      <c r="G1304" s="25">
        <f t="shared" si="24"/>
        <v>-1.8548257587923556E-2</v>
      </c>
    </row>
    <row r="1305" spans="1:7">
      <c r="A1305" s="46">
        <v>249.71665999999999</v>
      </c>
      <c r="B1305" s="46">
        <v>250.76</v>
      </c>
      <c r="C1305" s="46">
        <v>246.88167000000001</v>
      </c>
      <c r="D1305" s="46">
        <v>249.32333</v>
      </c>
      <c r="E1305" s="46">
        <v>384324</v>
      </c>
      <c r="F1305" s="46" t="s">
        <v>1335</v>
      </c>
      <c r="G1305" s="25">
        <f t="shared" si="24"/>
        <v>1.5775900313861335E-3</v>
      </c>
    </row>
    <row r="1306" spans="1:7">
      <c r="A1306" s="46">
        <v>252.73</v>
      </c>
      <c r="B1306" s="46">
        <v>254.68</v>
      </c>
      <c r="C1306" s="46">
        <v>249.37334000000001</v>
      </c>
      <c r="D1306" s="46">
        <v>253.33332999999999</v>
      </c>
      <c r="E1306" s="46">
        <v>520375</v>
      </c>
      <c r="F1306" s="46" t="s">
        <v>1336</v>
      </c>
      <c r="G1306" s="25">
        <f t="shared" si="24"/>
        <v>-2.381565820810061E-3</v>
      </c>
    </row>
    <row r="1307" spans="1:7">
      <c r="A1307" s="46">
        <v>251.12665999999999</v>
      </c>
      <c r="B1307" s="46">
        <v>251.77332999999999</v>
      </c>
      <c r="C1307" s="46">
        <v>248.24332999999999</v>
      </c>
      <c r="D1307" s="46">
        <v>249.44333</v>
      </c>
      <c r="E1307" s="46">
        <v>287491</v>
      </c>
      <c r="F1307" s="46" t="s">
        <v>1337</v>
      </c>
      <c r="G1307" s="25">
        <f t="shared" si="24"/>
        <v>6.7483464079796107E-3</v>
      </c>
    </row>
    <row r="1308" spans="1:7">
      <c r="A1308" s="46">
        <v>246.92334</v>
      </c>
      <c r="B1308" s="46">
        <v>250.59334000000001</v>
      </c>
      <c r="C1308" s="46">
        <v>245.65665999999999</v>
      </c>
      <c r="D1308" s="46">
        <v>248.05667</v>
      </c>
      <c r="E1308" s="46">
        <v>413858</v>
      </c>
      <c r="F1308" s="46" t="s">
        <v>1338</v>
      </c>
      <c r="G1308" s="25">
        <f t="shared" si="24"/>
        <v>-4.5688350166113167E-3</v>
      </c>
    </row>
    <row r="1309" spans="1:7">
      <c r="A1309" s="46">
        <v>245.85</v>
      </c>
      <c r="B1309" s="46">
        <v>253.27672999999999</v>
      </c>
      <c r="C1309" s="46">
        <v>245.37334000000001</v>
      </c>
      <c r="D1309" s="46">
        <v>251.51</v>
      </c>
      <c r="E1309" s="46">
        <v>518650</v>
      </c>
      <c r="F1309" s="46" t="s">
        <v>1339</v>
      </c>
      <c r="G1309" s="25">
        <f t="shared" si="24"/>
        <v>-2.2504075384676581E-2</v>
      </c>
    </row>
    <row r="1310" spans="1:7">
      <c r="A1310" s="46">
        <v>249.83332999999999</v>
      </c>
      <c r="B1310" s="46">
        <v>257.23665999999997</v>
      </c>
      <c r="C1310" s="46">
        <v>247.33332999999999</v>
      </c>
      <c r="D1310" s="46">
        <v>257.01334000000003</v>
      </c>
      <c r="E1310" s="46">
        <v>640866</v>
      </c>
      <c r="F1310" s="46" t="s">
        <v>1340</v>
      </c>
      <c r="G1310" s="25">
        <f t="shared" si="24"/>
        <v>-2.7936332020742749E-2</v>
      </c>
    </row>
    <row r="1311" spans="1:7">
      <c r="A1311" s="46">
        <v>257.81668000000002</v>
      </c>
      <c r="B1311" s="46">
        <v>264.18</v>
      </c>
      <c r="C1311" s="46">
        <v>251.92667</v>
      </c>
      <c r="D1311" s="46">
        <v>251.92667</v>
      </c>
      <c r="E1311" s="46">
        <v>1127941</v>
      </c>
      <c r="F1311" s="46" t="s">
        <v>1341</v>
      </c>
      <c r="G1311" s="25">
        <f t="shared" si="24"/>
        <v>2.3379858908943785E-2</v>
      </c>
    </row>
    <row r="1312" spans="1:7">
      <c r="A1312" s="46">
        <v>244.62334000000001</v>
      </c>
      <c r="B1312" s="46">
        <v>245.79834</v>
      </c>
      <c r="C1312" s="46">
        <v>240.08332999999999</v>
      </c>
      <c r="D1312" s="46">
        <v>243.13667000000001</v>
      </c>
      <c r="E1312" s="46">
        <v>406042</v>
      </c>
      <c r="F1312" s="46" t="s">
        <v>1342</v>
      </c>
      <c r="G1312" s="25">
        <f t="shared" si="24"/>
        <v>6.1145445481340932E-3</v>
      </c>
    </row>
    <row r="1313" spans="1:7">
      <c r="A1313" s="46">
        <v>242.76</v>
      </c>
      <c r="B1313" s="46">
        <v>244.93</v>
      </c>
      <c r="C1313" s="46">
        <v>239.55500000000001</v>
      </c>
      <c r="D1313" s="46">
        <v>244.84666000000001</v>
      </c>
      <c r="E1313" s="46">
        <v>535365</v>
      </c>
      <c r="F1313" s="46" t="s">
        <v>1343</v>
      </c>
      <c r="G1313" s="25">
        <f t="shared" ref="G1313:G1376" si="25">A1313/D1313-1</f>
        <v>-8.52231351654964E-3</v>
      </c>
    </row>
    <row r="1314" spans="1:7">
      <c r="A1314" s="46">
        <v>236.55</v>
      </c>
      <c r="B1314" s="46">
        <v>239.32</v>
      </c>
      <c r="C1314" s="46">
        <v>233.56909999999999</v>
      </c>
      <c r="D1314" s="46">
        <v>236.22667000000001</v>
      </c>
      <c r="E1314" s="46">
        <v>920323</v>
      </c>
      <c r="F1314" s="46" t="s">
        <v>1344</v>
      </c>
      <c r="G1314" s="25">
        <f t="shared" si="25"/>
        <v>1.3687277562690614E-3</v>
      </c>
    </row>
    <row r="1315" spans="1:7">
      <c r="A1315" s="46">
        <v>227.33332999999999</v>
      </c>
      <c r="B1315" s="46">
        <v>232.26</v>
      </c>
      <c r="C1315" s="46">
        <v>226.94</v>
      </c>
      <c r="D1315" s="46">
        <v>228</v>
      </c>
      <c r="E1315" s="46">
        <v>626463</v>
      </c>
      <c r="F1315" s="46" t="s">
        <v>1345</v>
      </c>
      <c r="G1315" s="25">
        <f t="shared" si="25"/>
        <v>-2.9239912280701885E-3</v>
      </c>
    </row>
    <row r="1316" spans="1:7">
      <c r="A1316" s="46">
        <v>225.32666</v>
      </c>
      <c r="B1316" s="46">
        <v>227.66667000000001</v>
      </c>
      <c r="C1316" s="46">
        <v>223.09666000000001</v>
      </c>
      <c r="D1316" s="46">
        <v>226.87334000000001</v>
      </c>
      <c r="E1316" s="46">
        <v>621862</v>
      </c>
      <c r="F1316" s="46" t="s">
        <v>1346</v>
      </c>
      <c r="G1316" s="25">
        <f t="shared" si="25"/>
        <v>-6.8173721954285504E-3</v>
      </c>
    </row>
    <row r="1317" spans="1:7">
      <c r="A1317" s="46">
        <v>222.36</v>
      </c>
      <c r="B1317" s="46">
        <v>228.66667000000001</v>
      </c>
      <c r="C1317" s="46">
        <v>217.66667000000001</v>
      </c>
      <c r="D1317" s="46">
        <v>227.4</v>
      </c>
      <c r="E1317" s="46">
        <v>996716</v>
      </c>
      <c r="F1317" s="46" t="s">
        <v>1347</v>
      </c>
      <c r="G1317" s="25">
        <f t="shared" si="25"/>
        <v>-2.2163588390501254E-2</v>
      </c>
    </row>
    <row r="1318" spans="1:7">
      <c r="A1318" s="46">
        <v>228.76</v>
      </c>
      <c r="B1318" s="46">
        <v>231.49</v>
      </c>
      <c r="C1318" s="46">
        <v>227.78886</v>
      </c>
      <c r="D1318" s="46">
        <v>230</v>
      </c>
      <c r="E1318" s="46">
        <v>886121</v>
      </c>
      <c r="F1318" s="46" t="s">
        <v>1348</v>
      </c>
      <c r="G1318" s="25">
        <f t="shared" si="25"/>
        <v>-5.3913043478260869E-3</v>
      </c>
    </row>
    <row r="1319" spans="1:7">
      <c r="A1319" s="46">
        <v>229.26666</v>
      </c>
      <c r="B1319" s="46">
        <v>235.04666</v>
      </c>
      <c r="C1319" s="46">
        <v>229.26334</v>
      </c>
      <c r="D1319" s="46">
        <v>234.77332999999999</v>
      </c>
      <c r="E1319" s="46">
        <v>563961</v>
      </c>
      <c r="F1319" s="46" t="s">
        <v>1349</v>
      </c>
      <c r="G1319" s="25">
        <f t="shared" si="25"/>
        <v>-2.3455262145832267E-2</v>
      </c>
    </row>
    <row r="1320" spans="1:7">
      <c r="A1320" s="46">
        <v>240.3</v>
      </c>
      <c r="B1320" s="46">
        <v>242.68333000000001</v>
      </c>
      <c r="C1320" s="46">
        <v>237.12334000000001</v>
      </c>
      <c r="D1320" s="46">
        <v>237.84</v>
      </c>
      <c r="E1320" s="46">
        <v>325004</v>
      </c>
      <c r="F1320" s="46" t="s">
        <v>1350</v>
      </c>
      <c r="G1320" s="25">
        <f t="shared" si="25"/>
        <v>1.034308779011095E-2</v>
      </c>
    </row>
    <row r="1321" spans="1:7">
      <c r="A1321" s="46">
        <v>237.25667000000001</v>
      </c>
      <c r="B1321" s="46">
        <v>243.25513000000001</v>
      </c>
      <c r="C1321" s="46">
        <v>233.56</v>
      </c>
      <c r="D1321" s="46">
        <v>242.36</v>
      </c>
      <c r="E1321" s="46">
        <v>513648</v>
      </c>
      <c r="F1321" s="46" t="s">
        <v>1351</v>
      </c>
      <c r="G1321" s="25">
        <f t="shared" si="25"/>
        <v>-2.1056816306321169E-2</v>
      </c>
    </row>
    <row r="1322" spans="1:7">
      <c r="A1322" s="46">
        <v>245.16</v>
      </c>
      <c r="B1322" s="46">
        <v>246.66499999999999</v>
      </c>
      <c r="C1322" s="46">
        <v>242.49834000000001</v>
      </c>
      <c r="D1322" s="46">
        <v>246.11</v>
      </c>
      <c r="E1322" s="46">
        <v>281680</v>
      </c>
      <c r="F1322" s="46" t="s">
        <v>1352</v>
      </c>
      <c r="G1322" s="25">
        <f t="shared" si="25"/>
        <v>-3.860062573646017E-3</v>
      </c>
    </row>
    <row r="1323" spans="1:7">
      <c r="A1323" s="46">
        <v>244.31334000000001</v>
      </c>
      <c r="B1323" s="46">
        <v>246.11332999999999</v>
      </c>
      <c r="C1323" s="46">
        <v>241.29666</v>
      </c>
      <c r="D1323" s="46">
        <v>243.20667</v>
      </c>
      <c r="E1323" s="46">
        <v>311700</v>
      </c>
      <c r="F1323" s="46" t="s">
        <v>1353</v>
      </c>
      <c r="G1323" s="25">
        <f t="shared" si="25"/>
        <v>4.5503275054092907E-3</v>
      </c>
    </row>
    <row r="1324" spans="1:7">
      <c r="A1324" s="46">
        <v>242.82666</v>
      </c>
      <c r="B1324" s="46">
        <v>244.88667000000001</v>
      </c>
      <c r="C1324" s="46">
        <v>240.86332999999999</v>
      </c>
      <c r="D1324" s="46">
        <v>243.6</v>
      </c>
      <c r="E1324" s="46">
        <v>612858</v>
      </c>
      <c r="F1324" s="46" t="s">
        <v>1354</v>
      </c>
      <c r="G1324" s="25">
        <f t="shared" si="25"/>
        <v>-3.1746305418718368E-3</v>
      </c>
    </row>
    <row r="1325" spans="1:7">
      <c r="A1325" s="46">
        <v>244.33332999999999</v>
      </c>
      <c r="B1325" s="46">
        <v>248.51666</v>
      </c>
      <c r="C1325" s="46">
        <v>243.3</v>
      </c>
      <c r="D1325" s="46">
        <v>245.37334000000001</v>
      </c>
      <c r="E1325" s="46">
        <v>399789</v>
      </c>
      <c r="F1325" s="46" t="s">
        <v>1355</v>
      </c>
      <c r="G1325" s="25">
        <f t="shared" si="25"/>
        <v>-4.2384800239505527E-3</v>
      </c>
    </row>
    <row r="1326" spans="1:7">
      <c r="A1326" s="46">
        <v>245.37334000000001</v>
      </c>
      <c r="B1326" s="46">
        <v>257.20666999999997</v>
      </c>
      <c r="C1326" s="46">
        <v>243.12334000000001</v>
      </c>
      <c r="D1326" s="46">
        <v>251.75</v>
      </c>
      <c r="E1326" s="46">
        <v>577663</v>
      </c>
      <c r="F1326" s="46" t="s">
        <v>1356</v>
      </c>
      <c r="G1326" s="25">
        <f t="shared" si="25"/>
        <v>-2.5329334657398173E-2</v>
      </c>
    </row>
    <row r="1327" spans="1:7">
      <c r="A1327" s="46">
        <v>250.89332999999999</v>
      </c>
      <c r="B1327" s="46">
        <v>253.62753000000001</v>
      </c>
      <c r="C1327" s="46">
        <v>238.76</v>
      </c>
      <c r="D1327" s="46">
        <v>241.66667000000001</v>
      </c>
      <c r="E1327" s="46">
        <v>1032235</v>
      </c>
      <c r="F1327" s="46" t="s">
        <v>1357</v>
      </c>
      <c r="G1327" s="25">
        <f t="shared" si="25"/>
        <v>3.8179282232009726E-2</v>
      </c>
    </row>
    <row r="1328" spans="1:7">
      <c r="A1328" s="46">
        <v>247</v>
      </c>
      <c r="B1328" s="46">
        <v>251.79843</v>
      </c>
      <c r="C1328" s="46">
        <v>246.66667000000001</v>
      </c>
      <c r="D1328" s="46">
        <v>247.35667000000001</v>
      </c>
      <c r="E1328" s="46">
        <v>929178</v>
      </c>
      <c r="F1328" s="46" t="s">
        <v>1358</v>
      </c>
      <c r="G1328" s="25">
        <f t="shared" si="25"/>
        <v>-1.4419259444267141E-3</v>
      </c>
    </row>
    <row r="1329" spans="1:7">
      <c r="A1329" s="46">
        <v>250.36</v>
      </c>
      <c r="B1329" s="46">
        <v>255.39332999999999</v>
      </c>
      <c r="C1329" s="46">
        <v>248.72</v>
      </c>
      <c r="D1329" s="46">
        <v>253.10333</v>
      </c>
      <c r="E1329" s="46">
        <v>638311</v>
      </c>
      <c r="F1329" s="46" t="s">
        <v>1359</v>
      </c>
      <c r="G1329" s="25">
        <f t="shared" si="25"/>
        <v>-1.0838774819754371E-2</v>
      </c>
    </row>
    <row r="1330" spans="1:7">
      <c r="A1330" s="46">
        <v>251.78334000000001</v>
      </c>
      <c r="B1330" s="46">
        <v>253.68333000000001</v>
      </c>
      <c r="C1330" s="46">
        <v>249.91</v>
      </c>
      <c r="D1330" s="46">
        <v>251.97333</v>
      </c>
      <c r="E1330" s="46">
        <v>544556</v>
      </c>
      <c r="F1330" s="46" t="s">
        <v>1360</v>
      </c>
      <c r="G1330" s="25">
        <f t="shared" si="25"/>
        <v>-7.5400837064776294E-4</v>
      </c>
    </row>
    <row r="1331" spans="1:7">
      <c r="A1331" s="46">
        <v>251.89</v>
      </c>
      <c r="B1331" s="46">
        <v>253.00833</v>
      </c>
      <c r="C1331" s="46">
        <v>247.74332999999999</v>
      </c>
      <c r="D1331" s="46">
        <v>249.58</v>
      </c>
      <c r="E1331" s="46">
        <v>755210</v>
      </c>
      <c r="F1331" s="46" t="s">
        <v>1361</v>
      </c>
      <c r="G1331" s="25">
        <f t="shared" si="25"/>
        <v>9.255549322862322E-3</v>
      </c>
    </row>
    <row r="1332" spans="1:7">
      <c r="A1332" s="46">
        <v>246.06334000000001</v>
      </c>
      <c r="B1332" s="46">
        <v>247.09</v>
      </c>
      <c r="C1332" s="46">
        <v>242.66667000000001</v>
      </c>
      <c r="D1332" s="46">
        <v>243.29333</v>
      </c>
      <c r="E1332" s="46">
        <v>413463</v>
      </c>
      <c r="F1332" s="46" t="s">
        <v>1362</v>
      </c>
      <c r="G1332" s="25">
        <f t="shared" si="25"/>
        <v>1.1385474480537505E-2</v>
      </c>
    </row>
    <row r="1333" spans="1:7">
      <c r="A1333" s="46">
        <v>241.00667000000001</v>
      </c>
      <c r="B1333" s="46">
        <v>242.87334000000001</v>
      </c>
      <c r="C1333" s="46">
        <v>240.04</v>
      </c>
      <c r="D1333" s="46">
        <v>241.66667000000001</v>
      </c>
      <c r="E1333" s="46">
        <v>370338</v>
      </c>
      <c r="F1333" s="46" t="s">
        <v>1363</v>
      </c>
      <c r="G1333" s="25">
        <f t="shared" si="25"/>
        <v>-2.7310344450891533E-3</v>
      </c>
    </row>
    <row r="1334" spans="1:7">
      <c r="A1334" s="46">
        <v>240.09334000000001</v>
      </c>
      <c r="B1334" s="46">
        <v>240.66333</v>
      </c>
      <c r="C1334" s="46">
        <v>236.14667</v>
      </c>
      <c r="D1334" s="46">
        <v>236.14667</v>
      </c>
      <c r="E1334" s="46">
        <v>393467</v>
      </c>
      <c r="F1334" s="46" t="s">
        <v>1364</v>
      </c>
      <c r="G1334" s="25">
        <f t="shared" si="25"/>
        <v>1.6712791249607672E-2</v>
      </c>
    </row>
    <row r="1335" spans="1:7">
      <c r="A1335" s="46">
        <v>233.00667000000001</v>
      </c>
      <c r="B1335" s="46">
        <v>238.74</v>
      </c>
      <c r="C1335" s="46">
        <v>232.09833</v>
      </c>
      <c r="D1335" s="46">
        <v>236.51</v>
      </c>
      <c r="E1335" s="46">
        <v>411975</v>
      </c>
      <c r="F1335" s="46" t="s">
        <v>1365</v>
      </c>
      <c r="G1335" s="25">
        <f t="shared" si="25"/>
        <v>-1.4812608346369993E-2</v>
      </c>
    </row>
    <row r="1336" spans="1:7">
      <c r="A1336" s="46">
        <v>235.9</v>
      </c>
      <c r="B1336" s="46">
        <v>236.18665999999999</v>
      </c>
      <c r="C1336" s="46">
        <v>232.274</v>
      </c>
      <c r="D1336" s="46">
        <v>233.03334000000001</v>
      </c>
      <c r="E1336" s="46">
        <v>402153</v>
      </c>
      <c r="F1336" s="46" t="s">
        <v>1366</v>
      </c>
      <c r="G1336" s="25">
        <f t="shared" si="25"/>
        <v>1.2301501579130347E-2</v>
      </c>
    </row>
    <row r="1337" spans="1:7">
      <c r="A1337" s="46">
        <v>232.09334000000001</v>
      </c>
      <c r="B1337" s="46">
        <v>235.85667000000001</v>
      </c>
      <c r="C1337" s="46">
        <v>230.70033000000001</v>
      </c>
      <c r="D1337" s="46">
        <v>233.36</v>
      </c>
      <c r="E1337" s="46">
        <v>534447</v>
      </c>
      <c r="F1337" s="46" t="s">
        <v>1367</v>
      </c>
      <c r="G1337" s="25">
        <f t="shared" si="25"/>
        <v>-5.4279225231401718E-3</v>
      </c>
    </row>
    <row r="1338" spans="1:7">
      <c r="A1338" s="46">
        <v>236.84</v>
      </c>
      <c r="B1338" s="46">
        <v>239.47577000000001</v>
      </c>
      <c r="C1338" s="46">
        <v>234.67166</v>
      </c>
      <c r="D1338" s="46">
        <v>237.70334</v>
      </c>
      <c r="E1338" s="46">
        <v>414651</v>
      </c>
      <c r="F1338" s="46" t="s">
        <v>1368</v>
      </c>
      <c r="G1338" s="25">
        <f t="shared" si="25"/>
        <v>-3.6320061804768766E-3</v>
      </c>
    </row>
    <row r="1339" spans="1:7">
      <c r="A1339" s="46">
        <v>236.51334</v>
      </c>
      <c r="B1339" s="46">
        <v>239.29666</v>
      </c>
      <c r="C1339" s="46">
        <v>230.18333000000001</v>
      </c>
      <c r="D1339" s="46">
        <v>232.38333</v>
      </c>
      <c r="E1339" s="46">
        <v>631781</v>
      </c>
      <c r="F1339" s="46" t="s">
        <v>1369</v>
      </c>
      <c r="G1339" s="25">
        <f t="shared" si="25"/>
        <v>1.7772402177040902E-2</v>
      </c>
    </row>
    <row r="1340" spans="1:7">
      <c r="A1340" s="46">
        <v>230.97667000000001</v>
      </c>
      <c r="B1340" s="46">
        <v>238.63</v>
      </c>
      <c r="C1340" s="46">
        <v>230.18333000000001</v>
      </c>
      <c r="D1340" s="46">
        <v>232.66667000000001</v>
      </c>
      <c r="E1340" s="46">
        <v>542029</v>
      </c>
      <c r="F1340" s="46" t="s">
        <v>1370</v>
      </c>
      <c r="G1340" s="25">
        <f t="shared" si="25"/>
        <v>-7.2636102111230949E-3</v>
      </c>
    </row>
    <row r="1341" spans="1:7">
      <c r="A1341" s="46">
        <v>231.05332999999999</v>
      </c>
      <c r="B1341" s="46">
        <v>231.85333</v>
      </c>
      <c r="C1341" s="46">
        <v>226.67667</v>
      </c>
      <c r="D1341" s="46">
        <v>228.33332999999999</v>
      </c>
      <c r="E1341" s="46">
        <v>650465</v>
      </c>
      <c r="F1341" s="46" t="s">
        <v>1371</v>
      </c>
      <c r="G1341" s="25">
        <f t="shared" si="25"/>
        <v>1.1912408933027807E-2</v>
      </c>
    </row>
    <row r="1342" spans="1:7">
      <c r="A1342" s="46">
        <v>224.57666</v>
      </c>
      <c r="B1342" s="46">
        <v>225.97333</v>
      </c>
      <c r="C1342" s="46">
        <v>217.66667000000001</v>
      </c>
      <c r="D1342" s="46">
        <v>218.22</v>
      </c>
      <c r="E1342" s="46">
        <v>522276</v>
      </c>
      <c r="F1342" s="46" t="s">
        <v>1372</v>
      </c>
      <c r="G1342" s="25">
        <f t="shared" si="25"/>
        <v>2.9129593987718749E-2</v>
      </c>
    </row>
    <row r="1343" spans="1:7">
      <c r="A1343" s="46">
        <v>219.17667</v>
      </c>
      <c r="B1343" s="46">
        <v>221.22667000000001</v>
      </c>
      <c r="C1343" s="46">
        <v>215.84666000000001</v>
      </c>
      <c r="D1343" s="46">
        <v>217.38</v>
      </c>
      <c r="E1343" s="46">
        <v>414959</v>
      </c>
      <c r="F1343" s="46" t="s">
        <v>1373</v>
      </c>
      <c r="G1343" s="25">
        <f t="shared" si="25"/>
        <v>8.2651117858127954E-3</v>
      </c>
    </row>
    <row r="1344" spans="1:7">
      <c r="A1344" s="46">
        <v>219.13667000000001</v>
      </c>
      <c r="B1344" s="46">
        <v>225.4</v>
      </c>
      <c r="C1344" s="46">
        <v>218.39332999999999</v>
      </c>
      <c r="D1344" s="46">
        <v>225.21</v>
      </c>
      <c r="E1344" s="46">
        <v>625492</v>
      </c>
      <c r="F1344" s="46" t="s">
        <v>1374</v>
      </c>
      <c r="G1344" s="25">
        <f t="shared" si="25"/>
        <v>-2.6967408196794107E-2</v>
      </c>
    </row>
    <row r="1345" spans="1:7">
      <c r="A1345" s="46">
        <v>222.00667000000001</v>
      </c>
      <c r="B1345" s="46">
        <v>222.48</v>
      </c>
      <c r="C1345" s="46">
        <v>213.88</v>
      </c>
      <c r="D1345" s="46">
        <v>216.15333999999999</v>
      </c>
      <c r="E1345" s="46">
        <v>1236184</v>
      </c>
      <c r="F1345" s="46" t="s">
        <v>1375</v>
      </c>
      <c r="G1345" s="25">
        <f t="shared" si="25"/>
        <v>2.7079526043872537E-2</v>
      </c>
    </row>
    <row r="1346" spans="1:7">
      <c r="A1346" s="46">
        <v>213.98334</v>
      </c>
      <c r="B1346" s="46">
        <v>216.03334000000001</v>
      </c>
      <c r="C1346" s="46">
        <v>211.09666000000001</v>
      </c>
      <c r="D1346" s="46">
        <v>216.03334000000001</v>
      </c>
      <c r="E1346" s="46">
        <v>784340</v>
      </c>
      <c r="F1346" s="46" t="s">
        <v>1376</v>
      </c>
      <c r="G1346" s="25">
        <f t="shared" si="25"/>
        <v>-9.4892760534092124E-3</v>
      </c>
    </row>
    <row r="1347" spans="1:7">
      <c r="A1347" s="46">
        <v>218.52332999999999</v>
      </c>
      <c r="B1347" s="46">
        <v>228.38200000000001</v>
      </c>
      <c r="C1347" s="46">
        <v>216.47386</v>
      </c>
      <c r="D1347" s="46">
        <v>226.33332999999999</v>
      </c>
      <c r="E1347" s="46">
        <v>1341555</v>
      </c>
      <c r="F1347" s="46" t="s">
        <v>1377</v>
      </c>
      <c r="G1347" s="25">
        <f t="shared" si="25"/>
        <v>-3.4506627901423115E-2</v>
      </c>
    </row>
    <row r="1348" spans="1:7">
      <c r="A1348" s="46">
        <v>226.95667</v>
      </c>
      <c r="B1348" s="46">
        <v>230.09666000000001</v>
      </c>
      <c r="C1348" s="46">
        <v>224.49666999999999</v>
      </c>
      <c r="D1348" s="46">
        <v>228.40333999999999</v>
      </c>
      <c r="E1348" s="46">
        <v>819734</v>
      </c>
      <c r="F1348" s="46" t="s">
        <v>1378</v>
      </c>
      <c r="G1348" s="25">
        <f t="shared" si="25"/>
        <v>-6.3338390760835361E-3</v>
      </c>
    </row>
    <row r="1349" spans="1:7">
      <c r="A1349" s="46">
        <v>230.46333000000001</v>
      </c>
      <c r="B1349" s="46">
        <v>241.17667</v>
      </c>
      <c r="C1349" s="46">
        <v>229.88667000000001</v>
      </c>
      <c r="D1349" s="46">
        <v>240.10667000000001</v>
      </c>
      <c r="E1349" s="46">
        <v>770799</v>
      </c>
      <c r="F1349" s="46" t="s">
        <v>1379</v>
      </c>
      <c r="G1349" s="25">
        <f t="shared" si="25"/>
        <v>-4.0162732672107793E-2</v>
      </c>
    </row>
    <row r="1350" spans="1:7">
      <c r="A1350" s="46">
        <v>238.52332999999999</v>
      </c>
      <c r="B1350" s="46">
        <v>242.05250000000001</v>
      </c>
      <c r="C1350" s="46">
        <v>237.04499999999999</v>
      </c>
      <c r="D1350" s="46">
        <v>241.41667000000001</v>
      </c>
      <c r="E1350" s="46">
        <v>378511</v>
      </c>
      <c r="F1350" s="46" t="s">
        <v>1380</v>
      </c>
      <c r="G1350" s="25">
        <f t="shared" si="25"/>
        <v>-1.1984839323647467E-2</v>
      </c>
    </row>
    <row r="1351" spans="1:7">
      <c r="A1351" s="46">
        <v>238.78</v>
      </c>
      <c r="B1351" s="46">
        <v>240.71333000000001</v>
      </c>
      <c r="C1351" s="46">
        <v>237.04683</v>
      </c>
      <c r="D1351" s="46">
        <v>237.47</v>
      </c>
      <c r="E1351" s="46">
        <v>389610</v>
      </c>
      <c r="F1351" s="46" t="s">
        <v>1381</v>
      </c>
      <c r="G1351" s="25">
        <f t="shared" si="25"/>
        <v>5.5164862930054959E-3</v>
      </c>
    </row>
    <row r="1352" spans="1:7">
      <c r="A1352" s="46">
        <v>234.18</v>
      </c>
      <c r="B1352" s="46">
        <v>238.51</v>
      </c>
      <c r="C1352" s="46">
        <v>232.66333</v>
      </c>
      <c r="D1352" s="46">
        <v>237.94333</v>
      </c>
      <c r="E1352" s="46">
        <v>433424</v>
      </c>
      <c r="F1352" s="46" t="s">
        <v>1382</v>
      </c>
      <c r="G1352" s="25">
        <f t="shared" si="25"/>
        <v>-1.5816076878473528E-2</v>
      </c>
    </row>
    <row r="1353" spans="1:7">
      <c r="A1353" s="46">
        <v>235.2</v>
      </c>
      <c r="B1353" s="46">
        <v>242.89667</v>
      </c>
      <c r="C1353" s="46">
        <v>233.75667000000001</v>
      </c>
      <c r="D1353" s="46">
        <v>239.5</v>
      </c>
      <c r="E1353" s="46">
        <v>521284</v>
      </c>
      <c r="F1353" s="46" t="s">
        <v>1383</v>
      </c>
      <c r="G1353" s="25">
        <f t="shared" si="25"/>
        <v>-1.7954070981210934E-2</v>
      </c>
    </row>
    <row r="1354" spans="1:7">
      <c r="A1354" s="46">
        <v>239.82666</v>
      </c>
      <c r="B1354" s="46">
        <v>242.2363</v>
      </c>
      <c r="C1354" s="46">
        <v>234.05167</v>
      </c>
      <c r="D1354" s="46">
        <v>234.45334</v>
      </c>
      <c r="E1354" s="46">
        <v>616906</v>
      </c>
      <c r="F1354" s="46" t="s">
        <v>1384</v>
      </c>
      <c r="G1354" s="25">
        <f t="shared" si="25"/>
        <v>2.2918504807822426E-2</v>
      </c>
    </row>
    <row r="1355" spans="1:7">
      <c r="A1355" s="46">
        <v>231.39</v>
      </c>
      <c r="B1355" s="46">
        <v>239.29</v>
      </c>
      <c r="C1355" s="46">
        <v>230.67500000000001</v>
      </c>
      <c r="D1355" s="46">
        <v>236.66667000000001</v>
      </c>
      <c r="E1355" s="46">
        <v>1041385</v>
      </c>
      <c r="F1355" s="46" t="s">
        <v>1385</v>
      </c>
      <c r="G1355" s="25">
        <f t="shared" si="25"/>
        <v>-2.2295788418369322E-2</v>
      </c>
    </row>
    <row r="1356" spans="1:7">
      <c r="A1356" s="46">
        <v>245.09334000000001</v>
      </c>
      <c r="B1356" s="46">
        <v>249.94919999999999</v>
      </c>
      <c r="C1356" s="46">
        <v>239.25095999999999</v>
      </c>
      <c r="D1356" s="46">
        <v>247.70334</v>
      </c>
      <c r="E1356" s="46">
        <v>829265</v>
      </c>
      <c r="F1356" s="46" t="s">
        <v>1386</v>
      </c>
      <c r="G1356" s="25">
        <f t="shared" si="25"/>
        <v>-1.0536797767845996E-2</v>
      </c>
    </row>
    <row r="1357" spans="1:7">
      <c r="A1357" s="46">
        <v>247.20334</v>
      </c>
      <c r="B1357" s="46">
        <v>252.32666</v>
      </c>
      <c r="C1357" s="46">
        <v>241.37665999999999</v>
      </c>
      <c r="D1357" s="46">
        <v>250.95334</v>
      </c>
      <c r="E1357" s="46">
        <v>1083930</v>
      </c>
      <c r="F1357" s="46" t="s">
        <v>1387</v>
      </c>
      <c r="G1357" s="25">
        <f t="shared" si="25"/>
        <v>-1.4943016897085326E-2</v>
      </c>
    </row>
    <row r="1358" spans="1:7">
      <c r="A1358" s="46">
        <v>255.03666999999999</v>
      </c>
      <c r="B1358" s="46">
        <v>259.61</v>
      </c>
      <c r="C1358" s="46">
        <v>246.11</v>
      </c>
      <c r="D1358" s="46">
        <v>247.33667</v>
      </c>
      <c r="E1358" s="46">
        <v>1078057</v>
      </c>
      <c r="F1358" s="46" t="s">
        <v>1388</v>
      </c>
      <c r="G1358" s="25">
        <f t="shared" si="25"/>
        <v>3.1131655488043863E-2</v>
      </c>
    </row>
    <row r="1359" spans="1:7">
      <c r="A1359" s="46">
        <v>247.19</v>
      </c>
      <c r="B1359" s="46">
        <v>247.48</v>
      </c>
      <c r="C1359" s="46">
        <v>242.43665999999999</v>
      </c>
      <c r="D1359" s="46">
        <v>244.15</v>
      </c>
      <c r="E1359" s="46">
        <v>521311</v>
      </c>
      <c r="F1359" s="46" t="s">
        <v>1389</v>
      </c>
      <c r="G1359" s="25">
        <f t="shared" si="25"/>
        <v>1.2451361867704236E-2</v>
      </c>
    </row>
    <row r="1360" spans="1:7">
      <c r="A1360" s="46">
        <v>243.61332999999999</v>
      </c>
      <c r="B1360" s="46">
        <v>244.81666999999999</v>
      </c>
      <c r="C1360" s="46">
        <v>240.33332999999999</v>
      </c>
      <c r="D1360" s="46">
        <v>241.05667</v>
      </c>
      <c r="E1360" s="46">
        <v>602540</v>
      </c>
      <c r="F1360" s="46" t="s">
        <v>1390</v>
      </c>
      <c r="G1360" s="25">
        <f t="shared" si="25"/>
        <v>1.0606053754911526E-2</v>
      </c>
    </row>
    <row r="1361" spans="1:7">
      <c r="A1361" s="46">
        <v>242.33667</v>
      </c>
      <c r="B1361" s="46">
        <v>243.31666999999999</v>
      </c>
      <c r="C1361" s="46">
        <v>236.23</v>
      </c>
      <c r="D1361" s="46">
        <v>237.78</v>
      </c>
      <c r="E1361" s="46">
        <v>646888</v>
      </c>
      <c r="F1361" s="46" t="s">
        <v>1391</v>
      </c>
      <c r="G1361" s="25">
        <f t="shared" si="25"/>
        <v>1.9163386323492348E-2</v>
      </c>
    </row>
    <row r="1362" spans="1:7">
      <c r="A1362" s="46">
        <v>236.46333000000001</v>
      </c>
      <c r="B1362" s="46">
        <v>239.37</v>
      </c>
      <c r="C1362" s="46">
        <v>230.70500000000001</v>
      </c>
      <c r="D1362" s="46">
        <v>233.61</v>
      </c>
      <c r="E1362" s="46">
        <v>863706</v>
      </c>
      <c r="F1362" s="46" t="s">
        <v>1392</v>
      </c>
      <c r="G1362" s="25">
        <f t="shared" si="25"/>
        <v>1.2214074739951286E-2</v>
      </c>
    </row>
    <row r="1363" spans="1:7">
      <c r="A1363" s="46">
        <v>233.33</v>
      </c>
      <c r="B1363" s="46">
        <v>233.82666</v>
      </c>
      <c r="C1363" s="46">
        <v>230.93</v>
      </c>
      <c r="D1363" s="46">
        <v>233.33332999999999</v>
      </c>
      <c r="E1363" s="46">
        <v>512688</v>
      </c>
      <c r="F1363" s="46" t="s">
        <v>1393</v>
      </c>
      <c r="G1363" s="25">
        <f t="shared" si="25"/>
        <v>-1.4271428775192163E-5</v>
      </c>
    </row>
    <row r="1364" spans="1:7">
      <c r="A1364" s="46">
        <v>233.16667000000001</v>
      </c>
      <c r="B1364" s="46">
        <v>233.61667</v>
      </c>
      <c r="C1364" s="46">
        <v>231.39433</v>
      </c>
      <c r="D1364" s="46">
        <v>231.92667</v>
      </c>
      <c r="E1364" s="46">
        <v>496710</v>
      </c>
      <c r="F1364" s="46" t="s">
        <v>1394</v>
      </c>
      <c r="G1364" s="25">
        <f t="shared" si="25"/>
        <v>5.3465175005531496E-3</v>
      </c>
    </row>
    <row r="1365" spans="1:7">
      <c r="A1365" s="46">
        <v>231.91333</v>
      </c>
      <c r="B1365" s="46">
        <v>233.98666</v>
      </c>
      <c r="C1365" s="46">
        <v>229.76334</v>
      </c>
      <c r="D1365" s="46">
        <v>233</v>
      </c>
      <c r="E1365" s="46">
        <v>527391</v>
      </c>
      <c r="F1365" s="46" t="s">
        <v>1395</v>
      </c>
      <c r="G1365" s="25">
        <f t="shared" si="25"/>
        <v>-4.6638197424893058E-3</v>
      </c>
    </row>
    <row r="1366" spans="1:7">
      <c r="A1366" s="46">
        <v>231.29333</v>
      </c>
      <c r="B1366" s="46">
        <v>231.65834000000001</v>
      </c>
      <c r="C1366" s="46">
        <v>228.89417</v>
      </c>
      <c r="D1366" s="46">
        <v>230.18</v>
      </c>
      <c r="E1366" s="46">
        <v>529843</v>
      </c>
      <c r="F1366" s="46" t="s">
        <v>1396</v>
      </c>
      <c r="G1366" s="25">
        <f t="shared" si="25"/>
        <v>4.8367799113737675E-3</v>
      </c>
    </row>
    <row r="1367" spans="1:7">
      <c r="A1367" s="46">
        <v>231.01666</v>
      </c>
      <c r="B1367" s="46">
        <v>231.73500000000001</v>
      </c>
      <c r="C1367" s="46">
        <v>229.00333000000001</v>
      </c>
      <c r="D1367" s="46">
        <v>229.75</v>
      </c>
      <c r="E1367" s="46">
        <v>289562</v>
      </c>
      <c r="F1367" s="46" t="s">
        <v>1397</v>
      </c>
      <c r="G1367" s="25">
        <f t="shared" si="25"/>
        <v>5.513210010881453E-3</v>
      </c>
    </row>
    <row r="1368" spans="1:7">
      <c r="A1368" s="46">
        <v>230.47</v>
      </c>
      <c r="B1368" s="46">
        <v>233</v>
      </c>
      <c r="C1368" s="46">
        <v>229.88667000000001</v>
      </c>
      <c r="D1368" s="46">
        <v>231.66667000000001</v>
      </c>
      <c r="E1368" s="46">
        <v>506178</v>
      </c>
      <c r="F1368" s="46" t="s">
        <v>1398</v>
      </c>
      <c r="G1368" s="25">
        <f t="shared" si="25"/>
        <v>-5.1654819400650531E-3</v>
      </c>
    </row>
    <row r="1369" spans="1:7">
      <c r="A1369" s="46">
        <v>230.79666</v>
      </c>
      <c r="B1369" s="46">
        <v>232.065</v>
      </c>
      <c r="C1369" s="46">
        <v>230.245</v>
      </c>
      <c r="D1369" s="46">
        <v>230.54333</v>
      </c>
      <c r="E1369" s="46">
        <v>405514</v>
      </c>
      <c r="F1369" s="46" t="s">
        <v>1399</v>
      </c>
      <c r="G1369" s="25">
        <f t="shared" si="25"/>
        <v>1.098838990484019E-3</v>
      </c>
    </row>
    <row r="1370" spans="1:7">
      <c r="A1370" s="46">
        <v>231.33332999999999</v>
      </c>
      <c r="B1370" s="46">
        <v>231.68665999999999</v>
      </c>
      <c r="C1370" s="46">
        <v>228.11332999999999</v>
      </c>
      <c r="D1370" s="46">
        <v>228.34</v>
      </c>
      <c r="E1370" s="46">
        <v>421320</v>
      </c>
      <c r="F1370" s="46" t="s">
        <v>1400</v>
      </c>
      <c r="G1370" s="25">
        <f t="shared" si="25"/>
        <v>1.3109091705351572E-2</v>
      </c>
    </row>
    <row r="1371" spans="1:7">
      <c r="A1371" s="46">
        <v>228.17334</v>
      </c>
      <c r="B1371" s="46">
        <v>230.84666000000001</v>
      </c>
      <c r="C1371" s="46">
        <v>227.11667</v>
      </c>
      <c r="D1371" s="46">
        <v>230.84666000000001</v>
      </c>
      <c r="E1371" s="46">
        <v>295953</v>
      </c>
      <c r="F1371" s="46" t="s">
        <v>1401</v>
      </c>
      <c r="G1371" s="25">
        <f t="shared" si="25"/>
        <v>-1.1580501099734408E-2</v>
      </c>
    </row>
    <row r="1372" spans="1:7">
      <c r="A1372" s="46">
        <v>230.18665999999999</v>
      </c>
      <c r="B1372" s="46">
        <v>231.33332999999999</v>
      </c>
      <c r="C1372" s="46">
        <v>226.696</v>
      </c>
      <c r="D1372" s="46">
        <v>227.57333</v>
      </c>
      <c r="E1372" s="46">
        <v>274622</v>
      </c>
      <c r="F1372" s="46" t="s">
        <v>1402</v>
      </c>
      <c r="G1372" s="25">
        <f t="shared" si="25"/>
        <v>1.1483463374201142E-2</v>
      </c>
    </row>
    <row r="1373" spans="1:7">
      <c r="A1373" s="46">
        <v>227.69667000000001</v>
      </c>
      <c r="B1373" s="46">
        <v>228.66499999999999</v>
      </c>
      <c r="C1373" s="46">
        <v>224.25667000000001</v>
      </c>
      <c r="D1373" s="46">
        <v>225.41333</v>
      </c>
      <c r="E1373" s="46">
        <v>479221</v>
      </c>
      <c r="F1373" s="46" t="s">
        <v>1403</v>
      </c>
      <c r="G1373" s="25">
        <f t="shared" si="25"/>
        <v>1.012956953344335E-2</v>
      </c>
    </row>
    <row r="1374" spans="1:7">
      <c r="A1374" s="46">
        <v>225</v>
      </c>
      <c r="B1374" s="46">
        <v>228.66333</v>
      </c>
      <c r="C1374" s="46">
        <v>223.87477000000001</v>
      </c>
      <c r="D1374" s="46">
        <v>228.66333</v>
      </c>
      <c r="E1374" s="46">
        <v>335330</v>
      </c>
      <c r="F1374" s="46" t="s">
        <v>1404</v>
      </c>
      <c r="G1374" s="25">
        <f t="shared" si="25"/>
        <v>-1.6020627356384654E-2</v>
      </c>
    </row>
    <row r="1375" spans="1:7">
      <c r="A1375" s="46">
        <v>227.66667000000001</v>
      </c>
      <c r="B1375" s="46">
        <v>228.44667000000001</v>
      </c>
      <c r="C1375" s="46">
        <v>225.33</v>
      </c>
      <c r="D1375" s="46">
        <v>228.24666999999999</v>
      </c>
      <c r="E1375" s="46">
        <v>301610</v>
      </c>
      <c r="F1375" s="46" t="s">
        <v>1405</v>
      </c>
      <c r="G1375" s="25">
        <f t="shared" si="25"/>
        <v>-2.5411104573835885E-3</v>
      </c>
    </row>
    <row r="1376" spans="1:7">
      <c r="A1376" s="46">
        <v>228.61667</v>
      </c>
      <c r="B1376" s="46">
        <v>231.36667</v>
      </c>
      <c r="C1376" s="46">
        <v>226.67334</v>
      </c>
      <c r="D1376" s="46">
        <v>230.34</v>
      </c>
      <c r="E1376" s="46">
        <v>370119</v>
      </c>
      <c r="F1376" s="46" t="s">
        <v>1406</v>
      </c>
      <c r="G1376" s="25">
        <f t="shared" si="25"/>
        <v>-7.4816792567509172E-3</v>
      </c>
    </row>
    <row r="1377" spans="1:7">
      <c r="A1377" s="46">
        <v>230.41667000000001</v>
      </c>
      <c r="B1377" s="46">
        <v>230.84334000000001</v>
      </c>
      <c r="C1377" s="46">
        <v>225.36332999999999</v>
      </c>
      <c r="D1377" s="46">
        <v>230.06666999999999</v>
      </c>
      <c r="E1377" s="46">
        <v>336991</v>
      </c>
      <c r="F1377" s="46" t="s">
        <v>1407</v>
      </c>
      <c r="G1377" s="25">
        <f t="shared" ref="G1377:G1415" si="26">A1377/D1377-1</f>
        <v>1.521298152400874E-3</v>
      </c>
    </row>
    <row r="1378" spans="1:7">
      <c r="A1378" s="46">
        <v>230.96333000000001</v>
      </c>
      <c r="B1378" s="46">
        <v>232.52167</v>
      </c>
      <c r="C1378" s="46">
        <v>228.44</v>
      </c>
      <c r="D1378" s="46">
        <v>229.21665999999999</v>
      </c>
      <c r="E1378" s="46">
        <v>471362</v>
      </c>
      <c r="F1378" s="46" t="s">
        <v>1408</v>
      </c>
      <c r="G1378" s="25">
        <f t="shared" si="26"/>
        <v>7.6201703663252296E-3</v>
      </c>
    </row>
    <row r="1379" spans="1:7">
      <c r="A1379" s="46">
        <v>227.83332999999999</v>
      </c>
      <c r="B1379" s="46">
        <v>229.80330000000001</v>
      </c>
      <c r="C1379" s="46">
        <v>227.16667000000001</v>
      </c>
      <c r="D1379" s="46">
        <v>229.07666</v>
      </c>
      <c r="E1379" s="46">
        <v>398852</v>
      </c>
      <c r="F1379" s="46" t="s">
        <v>1409</v>
      </c>
      <c r="G1379" s="25">
        <f t="shared" si="26"/>
        <v>-5.4275717133295265E-3</v>
      </c>
    </row>
    <row r="1380" spans="1:7">
      <c r="A1380" s="46">
        <v>229.64667</v>
      </c>
      <c r="B1380" s="46">
        <v>231.08</v>
      </c>
      <c r="C1380" s="46">
        <v>228.45667</v>
      </c>
      <c r="D1380" s="46">
        <v>228.58332999999999</v>
      </c>
      <c r="E1380" s="46">
        <v>489554</v>
      </c>
      <c r="F1380" s="46" t="s">
        <v>1410</v>
      </c>
      <c r="G1380" s="25">
        <f t="shared" si="26"/>
        <v>4.651870282929238E-3</v>
      </c>
    </row>
    <row r="1381" spans="1:7">
      <c r="A1381" s="46">
        <v>228.48</v>
      </c>
      <c r="B1381" s="46">
        <v>230.21333000000001</v>
      </c>
      <c r="C1381" s="46">
        <v>225.24</v>
      </c>
      <c r="D1381" s="46">
        <v>229.28334000000001</v>
      </c>
      <c r="E1381" s="46">
        <v>547284</v>
      </c>
      <c r="F1381" s="46" t="s">
        <v>1411</v>
      </c>
      <c r="G1381" s="25">
        <f t="shared" si="26"/>
        <v>-3.5036998327049318E-3</v>
      </c>
    </row>
    <row r="1382" spans="1:7">
      <c r="A1382" s="46">
        <v>229.13</v>
      </c>
      <c r="B1382" s="46">
        <v>230.76334</v>
      </c>
      <c r="C1382" s="46">
        <v>226.70334</v>
      </c>
      <c r="D1382" s="46">
        <v>229.65333999999999</v>
      </c>
      <c r="E1382" s="46">
        <v>546979</v>
      </c>
      <c r="F1382" s="46" t="s">
        <v>1412</v>
      </c>
      <c r="G1382" s="25">
        <f t="shared" si="26"/>
        <v>-2.2788259905124342E-3</v>
      </c>
    </row>
    <row r="1383" spans="1:7">
      <c r="A1383" s="46">
        <v>231.93</v>
      </c>
      <c r="B1383" s="46">
        <v>234.66667000000001</v>
      </c>
      <c r="C1383" s="46">
        <v>226.66833</v>
      </c>
      <c r="D1383" s="46">
        <v>227.57333</v>
      </c>
      <c r="E1383" s="46">
        <v>801060</v>
      </c>
      <c r="F1383" s="46" t="s">
        <v>1413</v>
      </c>
      <c r="G1383" s="25">
        <f t="shared" si="26"/>
        <v>1.914402711424934E-2</v>
      </c>
    </row>
    <row r="1384" spans="1:7">
      <c r="A1384" s="46">
        <v>226.56334000000001</v>
      </c>
      <c r="B1384" s="46">
        <v>228.33332999999999</v>
      </c>
      <c r="C1384" s="46">
        <v>224.75</v>
      </c>
      <c r="D1384" s="46">
        <v>226.66667000000001</v>
      </c>
      <c r="E1384" s="46">
        <v>429717</v>
      </c>
      <c r="F1384" s="46" t="s">
        <v>1414</v>
      </c>
      <c r="G1384" s="25">
        <f t="shared" si="26"/>
        <v>-4.5586764035487892E-4</v>
      </c>
    </row>
    <row r="1385" spans="1:7">
      <c r="A1385" s="46">
        <v>228.45</v>
      </c>
      <c r="B1385" s="46">
        <v>229.94333</v>
      </c>
      <c r="C1385" s="46">
        <v>222.69333</v>
      </c>
      <c r="D1385" s="46">
        <v>224.35667000000001</v>
      </c>
      <c r="E1385" s="46">
        <v>558331</v>
      </c>
      <c r="F1385" s="46" t="s">
        <v>1415</v>
      </c>
      <c r="G1385" s="25">
        <f t="shared" si="26"/>
        <v>1.8244743960587284E-2</v>
      </c>
    </row>
    <row r="1386" spans="1:7">
      <c r="A1386" s="46">
        <v>225.11</v>
      </c>
      <c r="B1386" s="46">
        <v>225.7</v>
      </c>
      <c r="C1386" s="46">
        <v>219.66</v>
      </c>
      <c r="D1386" s="46">
        <v>221.71</v>
      </c>
      <c r="E1386" s="46">
        <v>790382</v>
      </c>
      <c r="F1386" s="46" t="s">
        <v>1416</v>
      </c>
      <c r="G1386" s="25">
        <f t="shared" si="26"/>
        <v>1.5335347977087244E-2</v>
      </c>
    </row>
    <row r="1387" spans="1:7">
      <c r="A1387" s="46">
        <v>228.85</v>
      </c>
      <c r="B1387" s="46">
        <v>233.23996</v>
      </c>
      <c r="C1387" s="46">
        <v>223.90665999999999</v>
      </c>
      <c r="D1387" s="46">
        <v>228.26334</v>
      </c>
      <c r="E1387" s="46">
        <v>820662</v>
      </c>
      <c r="F1387" s="46" t="s">
        <v>1417</v>
      </c>
      <c r="G1387" s="25">
        <f t="shared" si="26"/>
        <v>2.5701017079657884E-3</v>
      </c>
    </row>
    <row r="1388" spans="1:7">
      <c r="A1388" s="46">
        <v>227.11332999999999</v>
      </c>
      <c r="B1388" s="46">
        <v>228.28165999999999</v>
      </c>
      <c r="C1388" s="46">
        <v>220.00667000000001</v>
      </c>
      <c r="D1388" s="46">
        <v>223.15</v>
      </c>
      <c r="E1388" s="46">
        <v>1132173</v>
      </c>
      <c r="F1388" s="46" t="s">
        <v>1418</v>
      </c>
      <c r="G1388" s="25">
        <f t="shared" si="26"/>
        <v>1.7760833520053643E-2</v>
      </c>
    </row>
    <row r="1389" spans="1:7">
      <c r="A1389" s="46">
        <v>219.38333</v>
      </c>
      <c r="B1389" s="46">
        <v>225.02099999999999</v>
      </c>
      <c r="C1389" s="46">
        <v>217.51666</v>
      </c>
      <c r="D1389" s="46">
        <v>222.41059999999999</v>
      </c>
      <c r="E1389" s="46">
        <v>1155447</v>
      </c>
      <c r="F1389" s="46" t="s">
        <v>1419</v>
      </c>
      <c r="G1389" s="25">
        <f t="shared" si="26"/>
        <v>-1.3611176805422009E-2</v>
      </c>
    </row>
    <row r="1390" spans="1:7">
      <c r="A1390" s="46">
        <v>222.51334</v>
      </c>
      <c r="B1390" s="46">
        <v>223.87665999999999</v>
      </c>
      <c r="C1390" s="46">
        <v>210.52332999999999</v>
      </c>
      <c r="D1390" s="46">
        <v>215.14667</v>
      </c>
      <c r="E1390" s="46">
        <v>1097375</v>
      </c>
      <c r="F1390" s="46" t="s">
        <v>1420</v>
      </c>
      <c r="G1390" s="25">
        <f t="shared" si="26"/>
        <v>3.4240223192857133E-2</v>
      </c>
    </row>
    <row r="1391" spans="1:7">
      <c r="A1391" s="46">
        <v>216.91333</v>
      </c>
      <c r="B1391" s="46">
        <v>218.26666</v>
      </c>
      <c r="C1391" s="46">
        <v>202.12</v>
      </c>
      <c r="D1391" s="46">
        <v>203.33332999999999</v>
      </c>
      <c r="E1391" s="46">
        <v>1665162</v>
      </c>
      <c r="F1391" s="46" t="s">
        <v>1421</v>
      </c>
      <c r="G1391" s="25">
        <f t="shared" si="26"/>
        <v>6.6786886340768792E-2</v>
      </c>
    </row>
    <row r="1392" spans="1:7">
      <c r="A1392" s="46">
        <v>201.41667000000001</v>
      </c>
      <c r="B1392" s="46">
        <v>204.25667000000001</v>
      </c>
      <c r="C1392" s="46">
        <v>198.78603000000001</v>
      </c>
      <c r="D1392" s="46">
        <v>201.56666999999999</v>
      </c>
      <c r="E1392" s="46">
        <v>696107</v>
      </c>
      <c r="F1392" s="46" t="s">
        <v>1422</v>
      </c>
      <c r="G1392" s="25">
        <f t="shared" si="26"/>
        <v>-7.441706508322099E-4</v>
      </c>
    </row>
    <row r="1393" spans="1:7">
      <c r="A1393" s="46">
        <v>202.6</v>
      </c>
      <c r="B1393" s="46">
        <v>203</v>
      </c>
      <c r="C1393" s="46">
        <v>196.86</v>
      </c>
      <c r="D1393" s="46">
        <v>197.08332999999999</v>
      </c>
      <c r="E1393" s="46">
        <v>790352</v>
      </c>
      <c r="F1393" s="46" t="s">
        <v>1423</v>
      </c>
      <c r="G1393" s="25">
        <f t="shared" si="26"/>
        <v>2.7991560727129938E-2</v>
      </c>
    </row>
    <row r="1394" spans="1:7">
      <c r="A1394" s="46">
        <v>195.11332999999999</v>
      </c>
      <c r="B1394" s="46">
        <v>195.49332999999999</v>
      </c>
      <c r="C1394" s="46">
        <v>188.73666</v>
      </c>
      <c r="D1394" s="46">
        <v>189.88</v>
      </c>
      <c r="E1394" s="46">
        <v>551457</v>
      </c>
      <c r="F1394" s="46" t="s">
        <v>1424</v>
      </c>
      <c r="G1394" s="25">
        <f t="shared" si="26"/>
        <v>2.756124921002745E-2</v>
      </c>
    </row>
    <row r="1395" spans="1:7">
      <c r="A1395" s="46">
        <v>190.43</v>
      </c>
      <c r="B1395" s="46">
        <v>196.26167000000001</v>
      </c>
      <c r="C1395" s="46">
        <v>190</v>
      </c>
      <c r="D1395" s="46">
        <v>193.05332999999999</v>
      </c>
      <c r="E1395" s="46">
        <v>516914</v>
      </c>
      <c r="F1395" s="46" t="s">
        <v>1425</v>
      </c>
      <c r="G1395" s="25">
        <f t="shared" si="26"/>
        <v>-1.3588628592938412E-2</v>
      </c>
    </row>
    <row r="1396" spans="1:7">
      <c r="A1396" s="46">
        <v>191.95667</v>
      </c>
      <c r="B1396" s="46">
        <v>192.37</v>
      </c>
      <c r="C1396" s="46">
        <v>189.17</v>
      </c>
      <c r="D1396" s="46">
        <v>191.56666999999999</v>
      </c>
      <c r="E1396" s="46">
        <v>309936</v>
      </c>
      <c r="F1396" s="46" t="s">
        <v>1426</v>
      </c>
      <c r="G1396" s="25">
        <f t="shared" si="26"/>
        <v>2.0358447531609869E-3</v>
      </c>
    </row>
    <row r="1397" spans="1:7">
      <c r="A1397" s="46">
        <v>191.49</v>
      </c>
      <c r="B1397" s="46">
        <v>194.40665999999999</v>
      </c>
      <c r="C1397" s="46">
        <v>189.33332999999999</v>
      </c>
      <c r="D1397" s="46">
        <v>193.07333</v>
      </c>
      <c r="E1397" s="46">
        <v>482822</v>
      </c>
      <c r="F1397" s="46" t="s">
        <v>1427</v>
      </c>
      <c r="G1397" s="25">
        <f t="shared" si="26"/>
        <v>-8.2006665550337088E-3</v>
      </c>
    </row>
    <row r="1398" spans="1:7">
      <c r="A1398" s="46">
        <v>193.65333999999999</v>
      </c>
      <c r="B1398" s="46">
        <v>194.35667000000001</v>
      </c>
      <c r="C1398" s="46">
        <v>191.87</v>
      </c>
      <c r="D1398" s="46">
        <v>192.98666</v>
      </c>
      <c r="E1398" s="46">
        <v>381929</v>
      </c>
      <c r="F1398" s="46" t="s">
        <v>1428</v>
      </c>
      <c r="G1398" s="25">
        <f t="shared" si="26"/>
        <v>3.4545392930267482E-3</v>
      </c>
    </row>
    <row r="1399" spans="1:7">
      <c r="A1399" s="46">
        <v>191.78</v>
      </c>
      <c r="B1399" s="46">
        <v>195.64332999999999</v>
      </c>
      <c r="C1399" s="46">
        <v>191.71333000000001</v>
      </c>
      <c r="D1399" s="46">
        <v>193.23334</v>
      </c>
      <c r="E1399" s="46">
        <v>383697</v>
      </c>
      <c r="F1399" s="46" t="s">
        <v>1429</v>
      </c>
      <c r="G1399" s="25">
        <f t="shared" si="26"/>
        <v>-7.5211658609223297E-3</v>
      </c>
    </row>
    <row r="1400" spans="1:7">
      <c r="A1400" s="46">
        <v>194.88</v>
      </c>
      <c r="B1400" s="46">
        <v>197.12334000000001</v>
      </c>
      <c r="C1400" s="46">
        <v>193.7</v>
      </c>
      <c r="D1400" s="46">
        <v>196.29333</v>
      </c>
      <c r="E1400" s="46">
        <v>495439</v>
      </c>
      <c r="F1400" s="46" t="s">
        <v>1430</v>
      </c>
      <c r="G1400" s="25">
        <f t="shared" si="26"/>
        <v>-7.2000918217649534E-3</v>
      </c>
    </row>
    <row r="1401" spans="1:7">
      <c r="A1401" s="46">
        <v>193.49332999999999</v>
      </c>
      <c r="B1401" s="46">
        <v>194.48072999999999</v>
      </c>
      <c r="C1401" s="46">
        <v>192.27667</v>
      </c>
      <c r="D1401" s="46">
        <v>194.09666000000001</v>
      </c>
      <c r="E1401" s="46">
        <v>513407</v>
      </c>
      <c r="F1401" s="46" t="s">
        <v>1431</v>
      </c>
      <c r="G1401" s="25">
        <f t="shared" si="26"/>
        <v>-3.1083997014684783E-3</v>
      </c>
    </row>
    <row r="1402" spans="1:7">
      <c r="A1402" s="46">
        <v>191.84666000000001</v>
      </c>
      <c r="B1402" s="46">
        <v>192.33</v>
      </c>
      <c r="C1402" s="46">
        <v>189.03</v>
      </c>
      <c r="D1402" s="46">
        <v>190.66667000000001</v>
      </c>
      <c r="E1402" s="46">
        <v>464700</v>
      </c>
      <c r="F1402" s="46" t="s">
        <v>1432</v>
      </c>
      <c r="G1402" s="25">
        <f t="shared" si="26"/>
        <v>6.1887586330637845E-3</v>
      </c>
    </row>
    <row r="1403" spans="1:7">
      <c r="A1403" s="46">
        <v>189.94333</v>
      </c>
      <c r="B1403" s="46">
        <v>191.12665999999999</v>
      </c>
      <c r="C1403" s="46">
        <v>183.99332999999999</v>
      </c>
      <c r="D1403" s="46">
        <v>184.88333</v>
      </c>
      <c r="E1403" s="46">
        <v>725417</v>
      </c>
      <c r="F1403" s="46" t="s">
        <v>1433</v>
      </c>
      <c r="G1403" s="25">
        <f t="shared" si="26"/>
        <v>2.73686113291014E-2</v>
      </c>
    </row>
    <row r="1404" spans="1:7">
      <c r="A1404" s="46">
        <v>184.59</v>
      </c>
      <c r="B1404" s="46">
        <v>184.99666999999999</v>
      </c>
      <c r="C1404" s="46">
        <v>181.38667000000001</v>
      </c>
      <c r="D1404" s="46">
        <v>184.50333000000001</v>
      </c>
      <c r="E1404" s="46">
        <v>447654</v>
      </c>
      <c r="F1404" s="46" t="s">
        <v>1434</v>
      </c>
      <c r="G1404" s="25">
        <f t="shared" si="26"/>
        <v>4.6974761918927577E-4</v>
      </c>
    </row>
    <row r="1405" spans="1:7">
      <c r="A1405" s="46">
        <v>183.28334000000001</v>
      </c>
      <c r="B1405" s="46">
        <v>185.95716999999999</v>
      </c>
      <c r="C1405" s="46">
        <v>181.62166999999999</v>
      </c>
      <c r="D1405" s="46">
        <v>185.52332999999999</v>
      </c>
      <c r="E1405" s="46">
        <v>658621</v>
      </c>
      <c r="F1405" s="46" t="s">
        <v>1435</v>
      </c>
      <c r="G1405" s="25">
        <f t="shared" si="26"/>
        <v>-1.2073899277249778E-2</v>
      </c>
    </row>
    <row r="1406" spans="1:7">
      <c r="A1406" s="46">
        <v>185.03666999999999</v>
      </c>
      <c r="B1406" s="46">
        <v>185.76334</v>
      </c>
      <c r="C1406" s="46">
        <v>181.01</v>
      </c>
      <c r="D1406" s="46">
        <v>185.56666999999999</v>
      </c>
      <c r="E1406" s="46">
        <v>716290</v>
      </c>
      <c r="F1406" s="46" t="s">
        <v>1436</v>
      </c>
      <c r="G1406" s="25">
        <f t="shared" si="26"/>
        <v>-2.8561163489111419E-3</v>
      </c>
    </row>
    <row r="1407" spans="1:7">
      <c r="A1407" s="46">
        <v>184.98666</v>
      </c>
      <c r="B1407" s="46">
        <v>194.33667</v>
      </c>
      <c r="C1407" s="46">
        <v>184.14332999999999</v>
      </c>
      <c r="D1407" s="46">
        <v>194.21</v>
      </c>
      <c r="E1407" s="46">
        <v>959665</v>
      </c>
      <c r="F1407" s="46" t="s">
        <v>1437</v>
      </c>
      <c r="G1407" s="25">
        <f t="shared" si="26"/>
        <v>-4.7491581277998129E-2</v>
      </c>
    </row>
    <row r="1408" spans="1:7">
      <c r="A1408" s="46">
        <v>196.17334</v>
      </c>
      <c r="B1408" s="46">
        <v>198.76666</v>
      </c>
      <c r="C1408" s="46">
        <v>195.66667000000001</v>
      </c>
      <c r="D1408" s="46">
        <v>197</v>
      </c>
      <c r="E1408" s="46">
        <v>419980</v>
      </c>
      <c r="F1408" s="46" t="s">
        <v>1438</v>
      </c>
      <c r="G1408" s="25">
        <f t="shared" si="26"/>
        <v>-4.1962436548224069E-3</v>
      </c>
    </row>
    <row r="1409" spans="1:7">
      <c r="A1409" s="46">
        <v>196.32</v>
      </c>
      <c r="B1409" s="46">
        <v>196.76</v>
      </c>
      <c r="C1409" s="46">
        <v>194.16333</v>
      </c>
      <c r="D1409" s="46">
        <v>196.08667</v>
      </c>
      <c r="E1409" s="46">
        <v>535771</v>
      </c>
      <c r="F1409" s="46" t="s">
        <v>1439</v>
      </c>
      <c r="G1409" s="25">
        <f t="shared" si="26"/>
        <v>1.1899330025850752E-3</v>
      </c>
    </row>
    <row r="1410" spans="1:7">
      <c r="A1410" s="46">
        <v>195.84334000000001</v>
      </c>
      <c r="B1410" s="46">
        <v>198.44499999999999</v>
      </c>
      <c r="C1410" s="46">
        <v>193.22333</v>
      </c>
      <c r="D1410" s="46">
        <v>197.23666</v>
      </c>
      <c r="E1410" s="46">
        <v>1156107</v>
      </c>
      <c r="F1410" s="46" t="s">
        <v>1440</v>
      </c>
      <c r="G1410" s="25">
        <f t="shared" si="26"/>
        <v>-7.0642039872302886E-3</v>
      </c>
    </row>
    <row r="1411" spans="1:7">
      <c r="A1411" s="46">
        <v>195.18</v>
      </c>
      <c r="B1411" s="46">
        <v>195.25333000000001</v>
      </c>
      <c r="C1411" s="46">
        <v>192.33</v>
      </c>
      <c r="D1411" s="46">
        <v>192.73334</v>
      </c>
      <c r="E1411" s="46">
        <v>412426</v>
      </c>
      <c r="F1411" s="46" t="s">
        <v>1441</v>
      </c>
      <c r="G1411" s="25">
        <f t="shared" si="26"/>
        <v>1.26945343239524E-2</v>
      </c>
    </row>
    <row r="1412" spans="1:7">
      <c r="A1412" s="46">
        <v>192.83</v>
      </c>
      <c r="B1412" s="46">
        <v>195.21</v>
      </c>
      <c r="C1412" s="46">
        <v>192.19333</v>
      </c>
      <c r="D1412" s="46">
        <v>193.44667000000001</v>
      </c>
      <c r="E1412" s="46">
        <v>388435</v>
      </c>
      <c r="F1412" s="46" t="s">
        <v>1442</v>
      </c>
      <c r="G1412" s="25">
        <f t="shared" si="26"/>
        <v>-3.1878036463486303E-3</v>
      </c>
    </row>
    <row r="1413" spans="1:7">
      <c r="A1413" s="46">
        <v>191.69</v>
      </c>
      <c r="B1413" s="46">
        <v>196.42334</v>
      </c>
      <c r="C1413" s="46">
        <v>190.85333</v>
      </c>
      <c r="D1413" s="46">
        <v>195.96</v>
      </c>
      <c r="E1413" s="46">
        <v>644857</v>
      </c>
      <c r="F1413" s="46" t="s">
        <v>1443</v>
      </c>
      <c r="G1413" s="25">
        <f t="shared" si="26"/>
        <v>-2.1790161257399521E-2</v>
      </c>
    </row>
    <row r="1414" spans="1:7">
      <c r="A1414" s="46">
        <v>190.42667</v>
      </c>
      <c r="B1414" s="46">
        <v>190.66</v>
      </c>
      <c r="C1414" s="46">
        <v>181.62334000000001</v>
      </c>
      <c r="D1414" s="46">
        <v>182.16667000000001</v>
      </c>
      <c r="E1414" s="46">
        <v>615599</v>
      </c>
      <c r="F1414" s="46" t="s">
        <v>1444</v>
      </c>
      <c r="G1414" s="25">
        <f t="shared" si="26"/>
        <v>4.534309157652161E-2</v>
      </c>
    </row>
    <row r="1415" spans="1:7">
      <c r="A1415" s="46">
        <v>186.13667000000001</v>
      </c>
      <c r="B1415" s="46">
        <v>189.78</v>
      </c>
      <c r="C1415" s="46">
        <v>181.84</v>
      </c>
      <c r="D1415" s="46">
        <v>187.67667</v>
      </c>
      <c r="E1415" s="46">
        <v>672639</v>
      </c>
      <c r="F1415" s="46" t="s">
        <v>1445</v>
      </c>
      <c r="G1415" s="25">
        <f t="shared" si="26"/>
        <v>-8.2056016871995263E-3</v>
      </c>
    </row>
    <row r="1416" spans="1:7">
      <c r="G1416" s="25"/>
    </row>
    <row r="1417" spans="1:7">
      <c r="G1417" s="25"/>
    </row>
    <row r="1418" spans="1:7">
      <c r="G1418" s="25"/>
    </row>
    <row r="1419" spans="1:7">
      <c r="G1419" s="25"/>
    </row>
    <row r="1420" spans="1:7">
      <c r="G1420" s="25"/>
    </row>
    <row r="1421" spans="1:7">
      <c r="G1421" s="25"/>
    </row>
    <row r="1422" spans="1:7">
      <c r="G1422" s="25"/>
    </row>
    <row r="1423" spans="1:7">
      <c r="G1423" s="25"/>
    </row>
    <row r="1424" spans="1:7">
      <c r="G1424" s="25"/>
    </row>
    <row r="1425" spans="7:7">
      <c r="G1425" s="25"/>
    </row>
    <row r="1426" spans="7:7">
      <c r="G1426" s="25"/>
    </row>
    <row r="1427" spans="7:7">
      <c r="G1427" s="25"/>
    </row>
    <row r="1428" spans="7:7">
      <c r="G1428" s="25"/>
    </row>
    <row r="1429" spans="7:7">
      <c r="G1429" s="25"/>
    </row>
    <row r="1430" spans="7:7">
      <c r="G1430" s="25"/>
    </row>
    <row r="1431" spans="7:7">
      <c r="G1431" s="25"/>
    </row>
    <row r="1432" spans="7:7">
      <c r="G1432" s="25"/>
    </row>
    <row r="1433" spans="7:7">
      <c r="G1433" s="25"/>
    </row>
    <row r="1434" spans="7:7">
      <c r="G1434" s="25"/>
    </row>
    <row r="1435" spans="7:7">
      <c r="G1435" s="25"/>
    </row>
    <row r="1436" spans="7:7">
      <c r="G1436" s="25"/>
    </row>
    <row r="1437" spans="7:7">
      <c r="G1437" s="25"/>
    </row>
    <row r="1438" spans="7:7">
      <c r="G1438" s="25"/>
    </row>
    <row r="1439" spans="7:7">
      <c r="G1439" s="25"/>
    </row>
    <row r="1440" spans="7:7">
      <c r="G1440" s="25"/>
    </row>
    <row r="1441" spans="7:7">
      <c r="G1441" s="25"/>
    </row>
    <row r="1442" spans="7:7">
      <c r="G1442" s="25"/>
    </row>
    <row r="1443" spans="7:7">
      <c r="G1443" s="25"/>
    </row>
    <row r="1444" spans="7:7">
      <c r="G1444" s="25"/>
    </row>
    <row r="1445" spans="7:7">
      <c r="G1445" s="25"/>
    </row>
    <row r="1446" spans="7:7">
      <c r="G1446" s="25"/>
    </row>
    <row r="1447" spans="7:7">
      <c r="G1447" s="25"/>
    </row>
    <row r="1448" spans="7:7">
      <c r="G1448" s="25"/>
    </row>
    <row r="1449" spans="7:7">
      <c r="G1449" s="25"/>
    </row>
    <row r="1450" spans="7:7">
      <c r="G1450" s="25"/>
    </row>
    <row r="1451" spans="7:7">
      <c r="G1451" s="25"/>
    </row>
    <row r="1452" spans="7:7">
      <c r="G1452" s="25"/>
    </row>
    <row r="1453" spans="7:7">
      <c r="G1453" s="25"/>
    </row>
    <row r="1454" spans="7:7">
      <c r="G1454" s="25"/>
    </row>
    <row r="1455" spans="7:7">
      <c r="G1455" s="25"/>
    </row>
    <row r="1456" spans="7:7">
      <c r="G1456" s="25"/>
    </row>
    <row r="1457" spans="7:7">
      <c r="G1457" s="25"/>
    </row>
    <row r="1458" spans="7:7">
      <c r="G1458" s="25"/>
    </row>
    <row r="1459" spans="7:7">
      <c r="G1459" s="25"/>
    </row>
    <row r="1460" spans="7:7">
      <c r="G1460" s="25"/>
    </row>
    <row r="1461" spans="7:7">
      <c r="G1461" s="25"/>
    </row>
    <row r="1462" spans="7:7">
      <c r="G1462" s="25"/>
    </row>
    <row r="1463" spans="7:7">
      <c r="G1463" s="25"/>
    </row>
    <row r="1464" spans="7:7">
      <c r="G1464" s="25"/>
    </row>
    <row r="1465" spans="7:7">
      <c r="G1465" s="25"/>
    </row>
    <row r="1466" spans="7:7">
      <c r="G1466" s="25"/>
    </row>
    <row r="1467" spans="7:7">
      <c r="G1467" s="25"/>
    </row>
    <row r="1468" spans="7:7">
      <c r="G1468" s="25"/>
    </row>
    <row r="1469" spans="7:7">
      <c r="G1469" s="25"/>
    </row>
    <row r="1470" spans="7:7">
      <c r="G1470" s="25"/>
    </row>
    <row r="1471" spans="7:7">
      <c r="G1471" s="25"/>
    </row>
    <row r="1472" spans="7:7">
      <c r="G1472" s="25"/>
    </row>
    <row r="1473" spans="7:7">
      <c r="G1473" s="25"/>
    </row>
    <row r="1474" spans="7:7">
      <c r="G1474" s="25"/>
    </row>
    <row r="1475" spans="7:7">
      <c r="G1475" s="25"/>
    </row>
    <row r="1476" spans="7:7">
      <c r="G1476" s="25"/>
    </row>
    <row r="1477" spans="7:7">
      <c r="G1477" s="25"/>
    </row>
    <row r="1478" spans="7:7">
      <c r="G1478" s="25"/>
    </row>
    <row r="1479" spans="7:7">
      <c r="G1479" s="25"/>
    </row>
    <row r="1480" spans="7:7">
      <c r="G1480" s="25"/>
    </row>
    <row r="1481" spans="7:7">
      <c r="G1481" s="25"/>
    </row>
    <row r="1482" spans="7:7">
      <c r="G1482" s="25"/>
    </row>
    <row r="1483" spans="7:7">
      <c r="G1483" s="25"/>
    </row>
    <row r="1484" spans="7:7">
      <c r="G1484" s="25"/>
    </row>
    <row r="1485" spans="7:7">
      <c r="G1485" s="25"/>
    </row>
    <row r="1486" spans="7:7">
      <c r="G1486" s="25"/>
    </row>
    <row r="1487" spans="7:7">
      <c r="G1487" s="25"/>
    </row>
    <row r="1488" spans="7:7">
      <c r="G1488" s="25"/>
    </row>
    <row r="1489" spans="7:7">
      <c r="G1489" s="25"/>
    </row>
    <row r="1490" spans="7:7">
      <c r="G1490" s="25"/>
    </row>
    <row r="1491" spans="7:7">
      <c r="G1491" s="25"/>
    </row>
    <row r="1492" spans="7:7">
      <c r="G1492" s="25"/>
    </row>
    <row r="1493" spans="7:7">
      <c r="G1493" s="25"/>
    </row>
    <row r="1494" spans="7:7">
      <c r="G1494" s="25"/>
    </row>
    <row r="1495" spans="7:7">
      <c r="G1495" s="25"/>
    </row>
    <row r="1496" spans="7:7">
      <c r="G1496" s="25"/>
    </row>
    <row r="1497" spans="7:7">
      <c r="G1497" s="25"/>
    </row>
    <row r="1498" spans="7:7">
      <c r="G1498" s="25"/>
    </row>
    <row r="1499" spans="7:7">
      <c r="G1499" s="25"/>
    </row>
    <row r="1500" spans="7:7">
      <c r="G1500" s="25"/>
    </row>
    <row r="1501" spans="7:7">
      <c r="G1501" s="25"/>
    </row>
    <row r="1502" spans="7:7">
      <c r="G1502" s="25"/>
    </row>
    <row r="1503" spans="7:7">
      <c r="G1503" s="25"/>
    </row>
    <row r="1504" spans="7:7">
      <c r="G1504" s="25"/>
    </row>
    <row r="1505" spans="7:7">
      <c r="G1505" s="25"/>
    </row>
    <row r="1506" spans="7:7">
      <c r="G1506" s="25"/>
    </row>
    <row r="1507" spans="7:7">
      <c r="G1507" s="25"/>
    </row>
    <row r="1508" spans="7:7">
      <c r="G1508" s="25"/>
    </row>
    <row r="1509" spans="7:7">
      <c r="G1509" s="25"/>
    </row>
    <row r="1510" spans="7:7">
      <c r="G1510" s="25"/>
    </row>
    <row r="1511" spans="7:7">
      <c r="G1511" s="25"/>
    </row>
    <row r="1512" spans="7:7">
      <c r="G1512" s="25"/>
    </row>
    <row r="1513" spans="7:7">
      <c r="G1513" s="25"/>
    </row>
    <row r="1514" spans="7:7">
      <c r="G1514" s="25"/>
    </row>
    <row r="1515" spans="7:7">
      <c r="G1515" s="25"/>
    </row>
    <row r="1516" spans="7:7">
      <c r="G1516" s="25"/>
    </row>
    <row r="1517" spans="7:7">
      <c r="G1517" s="25"/>
    </row>
    <row r="1518" spans="7:7">
      <c r="G1518" s="25"/>
    </row>
    <row r="1519" spans="7:7">
      <c r="G1519" s="25"/>
    </row>
    <row r="1520" spans="7:7">
      <c r="G1520" s="25"/>
    </row>
    <row r="1521" spans="7:7">
      <c r="G1521" s="25"/>
    </row>
    <row r="1522" spans="7:7">
      <c r="G1522" s="25"/>
    </row>
    <row r="1523" spans="7:7">
      <c r="G1523" s="25"/>
    </row>
    <row r="1524" spans="7:7">
      <c r="G1524" s="25"/>
    </row>
    <row r="1525" spans="7:7">
      <c r="G1525" s="25"/>
    </row>
    <row r="1526" spans="7:7">
      <c r="G1526" s="25"/>
    </row>
    <row r="1527" spans="7:7">
      <c r="G1527" s="25"/>
    </row>
    <row r="1528" spans="7:7">
      <c r="G1528" s="25"/>
    </row>
    <row r="1529" spans="7:7">
      <c r="G1529" s="25"/>
    </row>
    <row r="1530" spans="7:7">
      <c r="G1530" s="25"/>
    </row>
    <row r="1531" spans="7:7">
      <c r="G1531" s="25"/>
    </row>
    <row r="1532" spans="7:7">
      <c r="G1532" s="25"/>
    </row>
    <row r="1533" spans="7:7">
      <c r="G1533" s="25"/>
    </row>
    <row r="1534" spans="7:7">
      <c r="G1534" s="25"/>
    </row>
    <row r="1535" spans="7:7">
      <c r="G1535" s="25"/>
    </row>
    <row r="1536" spans="7:7">
      <c r="G1536" s="25"/>
    </row>
    <row r="1537" spans="7:7">
      <c r="G1537" s="25"/>
    </row>
    <row r="1538" spans="7:7">
      <c r="G1538" s="25"/>
    </row>
    <row r="1539" spans="7:7">
      <c r="G1539" s="25"/>
    </row>
    <row r="1540" spans="7:7">
      <c r="G1540" s="25"/>
    </row>
    <row r="1541" spans="7:7">
      <c r="G1541" s="25"/>
    </row>
    <row r="1542" spans="7:7">
      <c r="G1542" s="25"/>
    </row>
    <row r="1543" spans="7:7">
      <c r="G1543" s="25"/>
    </row>
    <row r="1544" spans="7:7">
      <c r="G1544" s="25"/>
    </row>
    <row r="1545" spans="7:7">
      <c r="G1545" s="25"/>
    </row>
    <row r="1546" spans="7:7">
      <c r="G1546" s="25"/>
    </row>
    <row r="1547" spans="7:7">
      <c r="G1547" s="25"/>
    </row>
    <row r="1548" spans="7:7">
      <c r="G1548" s="25"/>
    </row>
    <row r="1549" spans="7:7">
      <c r="G1549" s="25"/>
    </row>
    <row r="1550" spans="7:7">
      <c r="G1550" s="25"/>
    </row>
    <row r="1551" spans="7:7">
      <c r="G1551" s="25"/>
    </row>
    <row r="1552" spans="7:7">
      <c r="G1552" s="25"/>
    </row>
    <row r="1553" spans="7:7">
      <c r="G1553" s="25"/>
    </row>
    <row r="1554" spans="7:7">
      <c r="G1554" s="25"/>
    </row>
    <row r="1555" spans="7:7">
      <c r="G1555" s="25"/>
    </row>
    <row r="1556" spans="7:7">
      <c r="G1556" s="25"/>
    </row>
    <row r="1557" spans="7:7">
      <c r="G1557" s="25"/>
    </row>
    <row r="1558" spans="7:7">
      <c r="G1558" s="25"/>
    </row>
    <row r="1559" spans="7:7">
      <c r="G1559" s="25"/>
    </row>
  </sheetData>
  <sortState xmlns:xlrd2="http://schemas.microsoft.com/office/spreadsheetml/2017/richdata2" ref="I189:I293">
    <sortCondition ref="I189"/>
  </sortState>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63948-7FD9-4D33-AAA7-BDE5D55568DA}">
  <dimension ref="A2"/>
  <sheetViews>
    <sheetView workbookViewId="0">
      <selection activeCell="A2" sqref="A2"/>
    </sheetView>
  </sheetViews>
  <sheetFormatPr defaultColWidth="9.140625" defaultRowHeight="14.25"/>
  <cols>
    <col min="1" max="1" width="3" style="1" customWidth="1"/>
    <col min="2" max="16384" width="9.140625" style="1"/>
  </cols>
  <sheetData>
    <row r="2" spans="1:1" ht="15">
      <c r="A2" s="52" t="s">
        <v>1488</v>
      </c>
    </row>
  </sheetData>
  <hyperlinks>
    <hyperlink ref="A2" r:id="rId1" xr:uid="{E138077D-385E-46F6-87F9-E194CCFB113A}"/>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D36E60-677E-467E-9C59-7853ADE8E695}">
  <dimension ref="A1"/>
  <sheetViews>
    <sheetView workbookViewId="0">
      <selection activeCell="B2" sqref="B2"/>
    </sheetView>
  </sheetViews>
  <sheetFormatPr defaultColWidth="9.140625" defaultRowHeight="14.25"/>
  <cols>
    <col min="1" max="1" width="3" style="1" customWidth="1"/>
    <col min="2" max="16384" width="9.140625" style="1"/>
  </cols>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0CC31F-8910-447E-89B3-28B6120F3B0A}">
  <dimension ref="B2:Z8"/>
  <sheetViews>
    <sheetView workbookViewId="0">
      <selection activeCell="D15" sqref="D15"/>
    </sheetView>
  </sheetViews>
  <sheetFormatPr defaultColWidth="9.140625" defaultRowHeight="14.25"/>
  <cols>
    <col min="1" max="1" width="3.140625" style="1" customWidth="1"/>
    <col min="2" max="16384" width="9.140625" style="1"/>
  </cols>
  <sheetData>
    <row r="2" spans="2:26" ht="15">
      <c r="B2" s="3" t="s">
        <v>10</v>
      </c>
      <c r="C2" s="4"/>
      <c r="D2" s="4"/>
      <c r="E2" s="4"/>
      <c r="F2" s="4"/>
      <c r="G2" s="3" t="s">
        <v>10</v>
      </c>
      <c r="H2" s="5"/>
      <c r="I2" s="5"/>
      <c r="J2" s="5"/>
      <c r="K2" s="5"/>
      <c r="L2" s="5"/>
      <c r="M2" s="5"/>
      <c r="N2" s="5"/>
      <c r="O2" s="5"/>
      <c r="P2" s="5"/>
      <c r="Q2" s="5"/>
      <c r="R2" s="5"/>
      <c r="S2" s="5"/>
      <c r="T2" s="5"/>
      <c r="U2" s="5"/>
      <c r="V2" s="5"/>
      <c r="W2" s="5"/>
      <c r="X2" s="5"/>
      <c r="Y2" s="5"/>
      <c r="Z2" s="6"/>
    </row>
    <row r="3" spans="2:26" ht="15">
      <c r="B3" s="7" t="s">
        <v>11</v>
      </c>
      <c r="C3" s="8"/>
      <c r="D3" s="8"/>
      <c r="E3" s="8"/>
      <c r="F3" s="9"/>
      <c r="G3" s="10" t="s">
        <v>12</v>
      </c>
      <c r="H3" s="10"/>
      <c r="I3" s="10"/>
      <c r="J3" s="10"/>
      <c r="K3" s="10"/>
      <c r="L3" s="10"/>
      <c r="M3" s="10"/>
      <c r="N3" s="10"/>
      <c r="O3" s="10"/>
      <c r="P3" s="10"/>
      <c r="Q3" s="10"/>
      <c r="R3" s="10"/>
      <c r="S3" s="10"/>
      <c r="T3" s="10"/>
      <c r="U3" s="10"/>
      <c r="V3" s="10"/>
      <c r="W3" s="10"/>
      <c r="X3" s="10"/>
      <c r="Y3" s="10"/>
      <c r="Z3" s="11"/>
    </row>
    <row r="4" spans="2:26" ht="15">
      <c r="B4" s="12" t="s">
        <v>11</v>
      </c>
      <c r="C4" s="13"/>
      <c r="D4" s="13"/>
      <c r="E4" s="13"/>
      <c r="F4" s="14"/>
      <c r="G4" s="15" t="s">
        <v>13</v>
      </c>
      <c r="H4" s="15"/>
      <c r="I4" s="15"/>
      <c r="J4" s="15"/>
      <c r="K4" s="15"/>
      <c r="L4" s="15"/>
      <c r="M4" s="15"/>
      <c r="N4" s="15"/>
      <c r="O4" s="15"/>
      <c r="P4" s="15"/>
      <c r="Q4" s="15"/>
      <c r="R4" s="15"/>
      <c r="S4" s="15"/>
      <c r="T4" s="15"/>
      <c r="U4" s="15"/>
      <c r="V4" s="15"/>
      <c r="W4" s="15"/>
      <c r="X4" s="15"/>
      <c r="Y4" s="15"/>
      <c r="Z4" s="16"/>
    </row>
    <row r="5" spans="2:26" ht="15">
      <c r="B5" s="12" t="s">
        <v>11</v>
      </c>
      <c r="C5" s="13"/>
      <c r="D5" s="13"/>
      <c r="E5" s="13"/>
      <c r="F5" s="14"/>
      <c r="G5" s="17" t="s">
        <v>12</v>
      </c>
      <c r="H5" s="17"/>
      <c r="I5" s="17"/>
      <c r="J5" s="17"/>
      <c r="K5" s="17"/>
      <c r="L5" s="17"/>
      <c r="M5" s="17"/>
      <c r="N5" s="17"/>
      <c r="O5" s="17"/>
      <c r="P5" s="17"/>
      <c r="Q5" s="17"/>
      <c r="R5" s="17"/>
      <c r="S5" s="17"/>
      <c r="T5" s="17"/>
      <c r="U5" s="17"/>
      <c r="V5" s="17"/>
      <c r="W5" s="17"/>
      <c r="X5" s="17"/>
      <c r="Y5" s="17"/>
      <c r="Z5" s="18"/>
    </row>
    <row r="6" spans="2:26" ht="15">
      <c r="B6" s="12" t="s">
        <v>11</v>
      </c>
      <c r="C6" s="13"/>
      <c r="D6" s="13"/>
      <c r="E6" s="13"/>
      <c r="F6" s="14"/>
      <c r="G6" s="15" t="s">
        <v>13</v>
      </c>
      <c r="H6" s="15"/>
      <c r="I6" s="15"/>
      <c r="J6" s="15"/>
      <c r="K6" s="15"/>
      <c r="L6" s="15"/>
      <c r="M6" s="15"/>
      <c r="N6" s="15"/>
      <c r="O6" s="15"/>
      <c r="P6" s="15"/>
      <c r="Q6" s="15"/>
      <c r="R6" s="15"/>
      <c r="S6" s="15"/>
      <c r="T6" s="15"/>
      <c r="U6" s="15"/>
      <c r="V6" s="15"/>
      <c r="W6" s="15"/>
      <c r="X6" s="15"/>
      <c r="Y6" s="15"/>
      <c r="Z6" s="16"/>
    </row>
    <row r="7" spans="2:26" ht="15">
      <c r="B7" s="12" t="s">
        <v>11</v>
      </c>
      <c r="C7" s="13"/>
      <c r="D7" s="13"/>
      <c r="E7" s="13"/>
      <c r="F7" s="14"/>
      <c r="G7" s="17" t="s">
        <v>12</v>
      </c>
      <c r="H7" s="17"/>
      <c r="I7" s="17"/>
      <c r="J7" s="17"/>
      <c r="K7" s="17"/>
      <c r="L7" s="17"/>
      <c r="M7" s="17"/>
      <c r="N7" s="17"/>
      <c r="O7" s="17"/>
      <c r="P7" s="17"/>
      <c r="Q7" s="17"/>
      <c r="R7" s="17"/>
      <c r="S7" s="17"/>
      <c r="T7" s="17"/>
      <c r="U7" s="17"/>
      <c r="V7" s="17"/>
      <c r="W7" s="17"/>
      <c r="X7" s="17"/>
      <c r="Y7" s="17"/>
      <c r="Z7" s="18"/>
    </row>
    <row r="8" spans="2:26" ht="15">
      <c r="B8" s="19" t="s">
        <v>11</v>
      </c>
      <c r="C8" s="20"/>
      <c r="D8" s="20"/>
      <c r="E8" s="20"/>
      <c r="F8" s="21"/>
      <c r="G8" s="22" t="s">
        <v>13</v>
      </c>
      <c r="H8" s="22"/>
      <c r="I8" s="22"/>
      <c r="J8" s="22"/>
      <c r="K8" s="22"/>
      <c r="L8" s="22"/>
      <c r="M8" s="22"/>
      <c r="N8" s="22"/>
      <c r="O8" s="22"/>
      <c r="P8" s="22"/>
      <c r="Q8" s="22"/>
      <c r="R8" s="22"/>
      <c r="S8" s="22"/>
      <c r="T8" s="22"/>
      <c r="U8" s="22"/>
      <c r="V8" s="22"/>
      <c r="W8" s="22"/>
      <c r="X8" s="22"/>
      <c r="Y8" s="22"/>
      <c r="Z8" s="23"/>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Main</vt:lpstr>
      <vt:lpstr>Model</vt:lpstr>
      <vt:lpstr>Notes | Quant Analysis</vt:lpstr>
      <vt:lpstr>Product Lines</vt:lpstr>
      <vt:lpstr>Management</vt:lpstr>
      <vt:lpstr>Table Formatting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Jacob H</cp:lastModifiedBy>
  <dcterms:created xsi:type="dcterms:W3CDTF">2015-06-05T18:17:20Z</dcterms:created>
  <dcterms:modified xsi:type="dcterms:W3CDTF">2026-01-15T09:10:30Z</dcterms:modified>
</cp:coreProperties>
</file>